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9040" windowHeight="15840" tabRatio="968"/>
  </bookViews>
  <sheets>
    <sheet name="Summary " sheetId="1" r:id="rId1"/>
    <sheet name="TT1" sheetId="2" r:id="rId2"/>
    <sheet name="TT2" sheetId="3" r:id="rId3"/>
    <sheet name="TT3" sheetId="6" r:id="rId4"/>
    <sheet name="Pallet1" sheetId="4" r:id="rId5"/>
    <sheet name="Pallet2" sheetId="5" r:id="rId6"/>
    <sheet name="Pallet3" sheetId="7" r:id="rId7"/>
    <sheet name="Pallet4" sheetId="8" r:id="rId8"/>
    <sheet name="Pallet 5" sheetId="9" r:id="rId9"/>
    <sheet name="Pallet 6" sheetId="10" r:id="rId10"/>
    <sheet name="Pallet 7" sheetId="11" r:id="rId11"/>
    <sheet name="Pallet 8" sheetId="12" r:id="rId12"/>
    <sheet name="Pallet 9" sheetId="13" r:id="rId13"/>
    <sheet name="Pallet 10" sheetId="14" r:id="rId14"/>
    <sheet name="Pallet 11" sheetId="15" r:id="rId15"/>
    <sheet name="Pallet 12" sheetId="16" r:id="rId16"/>
    <sheet name="Pallet 13" sheetId="17" r:id="rId17"/>
    <sheet name="Pallet 14" sheetId="18" r:id="rId18"/>
    <sheet name="Pallet 15" sheetId="19" r:id="rId19"/>
    <sheet name="Pallet 16" sheetId="21" r:id="rId20"/>
    <sheet name="Pallet 17" sheetId="22" r:id="rId21"/>
    <sheet name="Pallet 18" sheetId="23" r:id="rId22"/>
    <sheet name="Pallet 19" sheetId="20" r:id="rId23"/>
    <sheet name="Pallet 20" sheetId="24" r:id="rId24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91" i="6" l="1"/>
  <c r="C71" i="3"/>
  <c r="C116" i="2"/>
  <c r="B25" i="1" l="1"/>
  <c r="L74" i="24"/>
  <c r="L73" i="24"/>
  <c r="L72" i="24"/>
  <c r="L71" i="24"/>
  <c r="L70" i="24"/>
  <c r="L69" i="24"/>
  <c r="L68" i="24"/>
  <c r="L67" i="24"/>
  <c r="L66" i="24"/>
  <c r="L65" i="24"/>
  <c r="L64" i="24"/>
  <c r="L63" i="24"/>
  <c r="L62" i="24"/>
  <c r="L61" i="24"/>
  <c r="L60" i="24"/>
  <c r="L59" i="24"/>
  <c r="L58" i="24"/>
  <c r="L57" i="24"/>
  <c r="L56" i="24"/>
  <c r="L55" i="24"/>
  <c r="L54" i="24"/>
  <c r="L53" i="24"/>
  <c r="L52" i="24"/>
  <c r="L51" i="24"/>
  <c r="L50" i="24"/>
  <c r="L49" i="24"/>
  <c r="L48" i="24"/>
  <c r="L47" i="24"/>
  <c r="L46" i="24"/>
  <c r="L45" i="24"/>
  <c r="L44" i="24"/>
  <c r="L43" i="24"/>
  <c r="L42" i="24"/>
  <c r="L41" i="24"/>
  <c r="L40" i="24"/>
  <c r="L39" i="24"/>
  <c r="L38" i="24"/>
  <c r="L37" i="24"/>
  <c r="L36" i="24"/>
  <c r="L35" i="24"/>
  <c r="L34" i="24"/>
  <c r="L33" i="24"/>
  <c r="L32" i="24"/>
  <c r="L31" i="24"/>
  <c r="L30" i="24"/>
  <c r="L29" i="24"/>
  <c r="L28" i="24"/>
  <c r="L27" i="24"/>
  <c r="L26" i="24"/>
  <c r="L25" i="24"/>
  <c r="L24" i="24"/>
  <c r="L23" i="24"/>
  <c r="L22" i="24"/>
  <c r="L21" i="24"/>
  <c r="L20" i="24"/>
  <c r="L19" i="24"/>
  <c r="L18" i="24"/>
  <c r="L17" i="24"/>
  <c r="L16" i="24"/>
  <c r="L15" i="24"/>
  <c r="L14" i="24"/>
  <c r="L13" i="24"/>
  <c r="L12" i="24"/>
  <c r="L11" i="24"/>
  <c r="L10" i="24"/>
  <c r="L9" i="24"/>
  <c r="L8" i="24"/>
  <c r="L7" i="24"/>
  <c r="L6" i="24"/>
  <c r="L5" i="24"/>
  <c r="L4" i="24"/>
  <c r="L3" i="24"/>
  <c r="L2" i="24"/>
  <c r="L33" i="20"/>
  <c r="L32" i="20"/>
  <c r="L31" i="20"/>
  <c r="L30" i="20"/>
  <c r="L29" i="20"/>
  <c r="L28" i="20"/>
  <c r="L27" i="20"/>
  <c r="L26" i="20"/>
  <c r="L25" i="20"/>
  <c r="L24" i="20"/>
  <c r="L23" i="20"/>
  <c r="L22" i="20"/>
  <c r="L21" i="20"/>
  <c r="L20" i="20"/>
  <c r="L19" i="20"/>
  <c r="L18" i="20"/>
  <c r="L17" i="20"/>
  <c r="L16" i="20"/>
  <c r="L15" i="20"/>
  <c r="L14" i="20"/>
  <c r="L13" i="20"/>
  <c r="L12" i="20"/>
  <c r="L11" i="20"/>
  <c r="L10" i="20"/>
  <c r="L9" i="20"/>
  <c r="L8" i="20"/>
  <c r="L7" i="20"/>
  <c r="L6" i="20"/>
  <c r="L5" i="20"/>
  <c r="L4" i="20"/>
  <c r="L3" i="20"/>
  <c r="L2" i="20"/>
  <c r="L46" i="23"/>
  <c r="L45" i="23"/>
  <c r="L44" i="23"/>
  <c r="L43" i="23"/>
  <c r="L42" i="23"/>
  <c r="L41" i="23"/>
  <c r="L40" i="23"/>
  <c r="L39" i="23"/>
  <c r="L38" i="23"/>
  <c r="L37" i="23"/>
  <c r="L36" i="23"/>
  <c r="L35" i="23"/>
  <c r="L34" i="23"/>
  <c r="L33" i="23"/>
  <c r="L32" i="23"/>
  <c r="L31" i="23"/>
  <c r="L30" i="23"/>
  <c r="L29" i="23"/>
  <c r="L28" i="23"/>
  <c r="L27" i="23"/>
  <c r="L26" i="23"/>
  <c r="L25" i="23"/>
  <c r="L24" i="23"/>
  <c r="L23" i="23"/>
  <c r="L22" i="23"/>
  <c r="L21" i="23"/>
  <c r="L20" i="23"/>
  <c r="L19" i="23"/>
  <c r="L18" i="23"/>
  <c r="L17" i="23"/>
  <c r="L16" i="23"/>
  <c r="L15" i="23"/>
  <c r="L14" i="23"/>
  <c r="L13" i="23"/>
  <c r="L12" i="23"/>
  <c r="L11" i="23"/>
  <c r="L10" i="23"/>
  <c r="L9" i="23"/>
  <c r="L8" i="23"/>
  <c r="L7" i="23"/>
  <c r="L6" i="23"/>
  <c r="L5" i="23"/>
  <c r="L4" i="23"/>
  <c r="L3" i="23"/>
  <c r="L2" i="23"/>
  <c r="L41" i="22"/>
  <c r="L40" i="22"/>
  <c r="L39" i="22"/>
  <c r="L38" i="22"/>
  <c r="L37" i="22"/>
  <c r="L36" i="22"/>
  <c r="L35" i="22"/>
  <c r="L34" i="22"/>
  <c r="L33" i="22"/>
  <c r="L32" i="22"/>
  <c r="L31" i="22"/>
  <c r="L30" i="22"/>
  <c r="L29" i="22"/>
  <c r="L28" i="22"/>
  <c r="L27" i="22"/>
  <c r="L26" i="22"/>
  <c r="L25" i="22"/>
  <c r="L24" i="22"/>
  <c r="L23" i="22"/>
  <c r="L22" i="22"/>
  <c r="L21" i="22"/>
  <c r="L20" i="22"/>
  <c r="L19" i="22"/>
  <c r="L18" i="22"/>
  <c r="L17" i="22"/>
  <c r="L16" i="22"/>
  <c r="L15" i="22"/>
  <c r="L14" i="22"/>
  <c r="L13" i="22"/>
  <c r="L12" i="22"/>
  <c r="L11" i="22"/>
  <c r="L10" i="22"/>
  <c r="L9" i="22"/>
  <c r="L8" i="22"/>
  <c r="L7" i="22"/>
  <c r="L6" i="22"/>
  <c r="L5" i="22"/>
  <c r="L4" i="22"/>
  <c r="L3" i="22"/>
  <c r="L2" i="22"/>
  <c r="L49" i="21"/>
  <c r="L48" i="21"/>
  <c r="L47" i="21"/>
  <c r="L46" i="21"/>
  <c r="L45" i="21"/>
  <c r="L44" i="21"/>
  <c r="L43" i="21"/>
  <c r="L42" i="21"/>
  <c r="L41" i="21"/>
  <c r="L40" i="21"/>
  <c r="L39" i="21"/>
  <c r="L38" i="21"/>
  <c r="L37" i="21"/>
  <c r="L36" i="21"/>
  <c r="L35" i="21"/>
  <c r="L34" i="21"/>
  <c r="L33" i="21"/>
  <c r="L32" i="21"/>
  <c r="L31" i="21"/>
  <c r="L30" i="21"/>
  <c r="L29" i="21"/>
  <c r="L28" i="21"/>
  <c r="L27" i="21"/>
  <c r="L26" i="21"/>
  <c r="L25" i="21"/>
  <c r="L24" i="21"/>
  <c r="L23" i="21"/>
  <c r="L22" i="21"/>
  <c r="L21" i="21"/>
  <c r="L20" i="21"/>
  <c r="L19" i="21"/>
  <c r="L18" i="21"/>
  <c r="L17" i="21"/>
  <c r="L16" i="21"/>
  <c r="L15" i="21"/>
  <c r="L14" i="21"/>
  <c r="L13" i="21"/>
  <c r="L12" i="21"/>
  <c r="L11" i="21"/>
  <c r="L10" i="21"/>
  <c r="L9" i="21"/>
  <c r="L8" i="21"/>
  <c r="L7" i="21"/>
  <c r="L6" i="21"/>
  <c r="L5" i="21"/>
  <c r="L4" i="21"/>
  <c r="L3" i="21"/>
  <c r="L2" i="21"/>
  <c r="L71" i="19"/>
  <c r="L70" i="19"/>
  <c r="L69" i="19"/>
  <c r="L68" i="19"/>
  <c r="L67" i="19"/>
  <c r="L66" i="19"/>
  <c r="L65" i="19"/>
  <c r="L64" i="19"/>
  <c r="L63" i="19"/>
  <c r="L62" i="19"/>
  <c r="L61" i="19"/>
  <c r="L60" i="19"/>
  <c r="L59" i="19"/>
  <c r="L58" i="19"/>
  <c r="L57" i="19"/>
  <c r="L56" i="19"/>
  <c r="L55" i="19"/>
  <c r="L54" i="19"/>
  <c r="L53" i="19"/>
  <c r="L52" i="19"/>
  <c r="L51" i="19"/>
  <c r="L50" i="19"/>
  <c r="L49" i="19"/>
  <c r="L48" i="19"/>
  <c r="L47" i="19"/>
  <c r="L46" i="19"/>
  <c r="L45" i="19"/>
  <c r="L44" i="19"/>
  <c r="L43" i="19"/>
  <c r="L42" i="19"/>
  <c r="L41" i="19"/>
  <c r="L40" i="19"/>
  <c r="L39" i="19"/>
  <c r="L38" i="19"/>
  <c r="L37" i="19"/>
  <c r="L36" i="19"/>
  <c r="L35" i="19"/>
  <c r="L34" i="19"/>
  <c r="L33" i="19"/>
  <c r="L32" i="19"/>
  <c r="L31" i="19"/>
  <c r="L30" i="19"/>
  <c r="L29" i="19"/>
  <c r="L28" i="19"/>
  <c r="L27" i="19"/>
  <c r="L26" i="19"/>
  <c r="L25" i="19"/>
  <c r="L24" i="19"/>
  <c r="L23" i="19"/>
  <c r="L22" i="19"/>
  <c r="L21" i="19"/>
  <c r="L20" i="19"/>
  <c r="L19" i="19"/>
  <c r="L18" i="19"/>
  <c r="L17" i="19"/>
  <c r="L16" i="19"/>
  <c r="L15" i="19"/>
  <c r="L14" i="19"/>
  <c r="L13" i="19"/>
  <c r="L12" i="19"/>
  <c r="L11" i="19"/>
  <c r="L10" i="19"/>
  <c r="L9" i="19"/>
  <c r="L8" i="19"/>
  <c r="L7" i="19"/>
  <c r="L6" i="19"/>
  <c r="L5" i="19"/>
  <c r="L4" i="19"/>
  <c r="L3" i="19"/>
  <c r="L2" i="19"/>
  <c r="L42" i="18"/>
  <c r="L41" i="18"/>
  <c r="L40" i="18"/>
  <c r="L39" i="18"/>
  <c r="L38" i="18"/>
  <c r="L37" i="18"/>
  <c r="L36" i="18"/>
  <c r="L35" i="18"/>
  <c r="L34" i="18"/>
  <c r="L33" i="18"/>
  <c r="L32" i="18"/>
  <c r="L31" i="18"/>
  <c r="L30" i="18"/>
  <c r="L29" i="18"/>
  <c r="L28" i="18"/>
  <c r="L27" i="18"/>
  <c r="L26" i="18"/>
  <c r="L25" i="18"/>
  <c r="L24" i="18"/>
  <c r="L23" i="18"/>
  <c r="L22" i="18"/>
  <c r="L21" i="18"/>
  <c r="L20" i="18"/>
  <c r="L19" i="18"/>
  <c r="L18" i="18"/>
  <c r="L17" i="18"/>
  <c r="L16" i="18"/>
  <c r="L15" i="18"/>
  <c r="L14" i="18"/>
  <c r="L13" i="18"/>
  <c r="L12" i="18"/>
  <c r="L11" i="18"/>
  <c r="L10" i="18"/>
  <c r="L9" i="18"/>
  <c r="L8" i="18"/>
  <c r="L7" i="18"/>
  <c r="L6" i="18"/>
  <c r="L5" i="18"/>
  <c r="L4" i="18"/>
  <c r="L3" i="18"/>
  <c r="L2" i="18"/>
  <c r="K38" i="17"/>
  <c r="K37" i="17"/>
  <c r="K36" i="17"/>
  <c r="K35" i="17"/>
  <c r="K34" i="17"/>
  <c r="K33" i="17"/>
  <c r="K32" i="17"/>
  <c r="K31" i="17"/>
  <c r="K30" i="17"/>
  <c r="K29" i="17"/>
  <c r="K28" i="17"/>
  <c r="K27" i="17"/>
  <c r="K26" i="17"/>
  <c r="K25" i="17"/>
  <c r="K24" i="17"/>
  <c r="K23" i="17"/>
  <c r="K22" i="17"/>
  <c r="K21" i="17"/>
  <c r="K20" i="17"/>
  <c r="K19" i="17"/>
  <c r="K18" i="17"/>
  <c r="K17" i="17"/>
  <c r="K16" i="17"/>
  <c r="K15" i="17"/>
  <c r="K14" i="17"/>
  <c r="K13" i="17"/>
  <c r="K12" i="17"/>
  <c r="K11" i="17"/>
  <c r="K10" i="17"/>
  <c r="K9" i="17"/>
  <c r="K8" i="17"/>
  <c r="K7" i="17"/>
  <c r="K6" i="17"/>
  <c r="K5" i="17"/>
  <c r="K4" i="17"/>
  <c r="K3" i="17"/>
  <c r="K2" i="17"/>
  <c r="L39" i="16" l="1"/>
  <c r="L38" i="16"/>
  <c r="L37" i="16"/>
  <c r="L36" i="16"/>
  <c r="L35" i="16"/>
  <c r="L34" i="16"/>
  <c r="L33" i="16"/>
  <c r="L32" i="16"/>
  <c r="L31" i="16"/>
  <c r="L30" i="16"/>
  <c r="L29" i="16"/>
  <c r="L28" i="16"/>
  <c r="L27" i="16"/>
  <c r="L26" i="16"/>
  <c r="L25" i="16"/>
  <c r="L24" i="16"/>
  <c r="L23" i="16"/>
  <c r="L22" i="16"/>
  <c r="L21" i="16"/>
  <c r="L20" i="16"/>
  <c r="L19" i="16"/>
  <c r="L18" i="16"/>
  <c r="L17" i="16"/>
  <c r="L16" i="16"/>
  <c r="L15" i="16"/>
  <c r="L14" i="16"/>
  <c r="L13" i="16"/>
  <c r="L12" i="16"/>
  <c r="L11" i="16"/>
  <c r="L10" i="16"/>
  <c r="L9" i="16"/>
  <c r="L8" i="16"/>
  <c r="L7" i="16"/>
  <c r="L6" i="16"/>
  <c r="L5" i="16"/>
  <c r="L4" i="16"/>
  <c r="L3" i="16"/>
  <c r="L2" i="16"/>
  <c r="L58" i="15"/>
  <c r="L57" i="15"/>
  <c r="L56" i="15"/>
  <c r="L55" i="15"/>
  <c r="L54" i="15"/>
  <c r="L53" i="15"/>
  <c r="L52" i="15"/>
  <c r="L51" i="15"/>
  <c r="L50" i="15"/>
  <c r="L49" i="15"/>
  <c r="L48" i="15"/>
  <c r="L47" i="15"/>
  <c r="L46" i="15"/>
  <c r="L45" i="15"/>
  <c r="L44" i="15"/>
  <c r="L43" i="15"/>
  <c r="L42" i="15"/>
  <c r="L41" i="15"/>
  <c r="L40" i="15"/>
  <c r="L39" i="15"/>
  <c r="L38" i="15"/>
  <c r="L37" i="15"/>
  <c r="L36" i="15"/>
  <c r="L35" i="15"/>
  <c r="L34" i="15"/>
  <c r="L33" i="15"/>
  <c r="L32" i="15"/>
  <c r="L31" i="15"/>
  <c r="L30" i="15"/>
  <c r="L29" i="15"/>
  <c r="L28" i="15"/>
  <c r="L27" i="15"/>
  <c r="L26" i="15"/>
  <c r="L25" i="15"/>
  <c r="L24" i="15"/>
  <c r="L23" i="15"/>
  <c r="L22" i="15"/>
  <c r="L21" i="15"/>
  <c r="L20" i="15"/>
  <c r="L19" i="15"/>
  <c r="L18" i="15"/>
  <c r="L17" i="15"/>
  <c r="L16" i="15"/>
  <c r="L15" i="15"/>
  <c r="L14" i="15"/>
  <c r="L13" i="15"/>
  <c r="L12" i="15"/>
  <c r="L11" i="15"/>
  <c r="L10" i="15"/>
  <c r="L9" i="15"/>
  <c r="L8" i="15"/>
  <c r="L7" i="15"/>
  <c r="L6" i="15"/>
  <c r="L5" i="15"/>
  <c r="L4" i="15"/>
  <c r="L3" i="15"/>
  <c r="L2" i="15"/>
  <c r="L32" i="14"/>
  <c r="L31" i="14"/>
  <c r="L30" i="14"/>
  <c r="L29" i="14"/>
  <c r="L28" i="14"/>
  <c r="L27" i="14"/>
  <c r="L26" i="14"/>
  <c r="L25" i="14"/>
  <c r="L24" i="14"/>
  <c r="L23" i="14"/>
  <c r="L22" i="14"/>
  <c r="L21" i="14"/>
  <c r="L20" i="14"/>
  <c r="L19" i="14"/>
  <c r="L18" i="14"/>
  <c r="L17" i="14"/>
  <c r="L16" i="14"/>
  <c r="L15" i="14"/>
  <c r="L14" i="14"/>
  <c r="L13" i="14"/>
  <c r="L12" i="14"/>
  <c r="L11" i="14"/>
  <c r="L10" i="14"/>
  <c r="L9" i="14"/>
  <c r="L8" i="14"/>
  <c r="L7" i="14"/>
  <c r="L6" i="14"/>
  <c r="L5" i="14"/>
  <c r="L4" i="14"/>
  <c r="L3" i="14"/>
  <c r="L2" i="14"/>
  <c r="L68" i="13"/>
  <c r="L67" i="13"/>
  <c r="L66" i="13"/>
  <c r="L65" i="13"/>
  <c r="L64" i="13"/>
  <c r="L63" i="13"/>
  <c r="L62" i="13"/>
  <c r="L61" i="13"/>
  <c r="L60" i="13"/>
  <c r="L59" i="13"/>
  <c r="L58" i="13"/>
  <c r="L57" i="13"/>
  <c r="L56" i="13"/>
  <c r="L55" i="13"/>
  <c r="L54" i="13"/>
  <c r="L53" i="13"/>
  <c r="L52" i="13"/>
  <c r="L51" i="13"/>
  <c r="L50" i="13"/>
  <c r="L49" i="13"/>
  <c r="L48" i="13"/>
  <c r="L47" i="13"/>
  <c r="L46" i="13"/>
  <c r="L45" i="13"/>
  <c r="L44" i="13"/>
  <c r="L43" i="13"/>
  <c r="L42" i="13"/>
  <c r="L41" i="13"/>
  <c r="L40" i="13"/>
  <c r="L39" i="13"/>
  <c r="L38" i="13"/>
  <c r="L37" i="13"/>
  <c r="L36" i="13"/>
  <c r="L35" i="13"/>
  <c r="L34" i="13"/>
  <c r="L33" i="13"/>
  <c r="L32" i="13"/>
  <c r="L31" i="13"/>
  <c r="L30" i="13"/>
  <c r="L29" i="13"/>
  <c r="L28" i="13"/>
  <c r="L27" i="13"/>
  <c r="L26" i="13"/>
  <c r="L25" i="13"/>
  <c r="L24" i="13"/>
  <c r="L23" i="13"/>
  <c r="L22" i="13"/>
  <c r="L21" i="13"/>
  <c r="L20" i="13"/>
  <c r="L19" i="13"/>
  <c r="L18" i="13"/>
  <c r="L17" i="13"/>
  <c r="L16" i="13"/>
  <c r="L15" i="13"/>
  <c r="L14" i="13"/>
  <c r="L13" i="13"/>
  <c r="L12" i="13"/>
  <c r="L11" i="13"/>
  <c r="L10" i="13"/>
  <c r="L9" i="13"/>
  <c r="L8" i="13"/>
  <c r="L7" i="13"/>
  <c r="L6" i="13"/>
  <c r="L5" i="13"/>
  <c r="L4" i="13"/>
  <c r="L3" i="13"/>
  <c r="L2" i="13"/>
  <c r="L34" i="12"/>
  <c r="L33" i="12"/>
  <c r="L32" i="12"/>
  <c r="L31" i="12"/>
  <c r="L30" i="12"/>
  <c r="L29" i="12"/>
  <c r="L28" i="12"/>
  <c r="L27" i="12"/>
  <c r="L26" i="12"/>
  <c r="L25" i="12"/>
  <c r="L24" i="12"/>
  <c r="L23" i="12"/>
  <c r="L22" i="12"/>
  <c r="L21" i="12"/>
  <c r="L20" i="12"/>
  <c r="L19" i="12"/>
  <c r="L18" i="12"/>
  <c r="L17" i="12"/>
  <c r="L16" i="12"/>
  <c r="L15" i="12"/>
  <c r="L14" i="12"/>
  <c r="L13" i="12"/>
  <c r="L12" i="12"/>
  <c r="L11" i="12"/>
  <c r="L10" i="12"/>
  <c r="L9" i="12"/>
  <c r="L8" i="12"/>
  <c r="L7" i="12"/>
  <c r="L6" i="12"/>
  <c r="L5" i="12"/>
  <c r="L4" i="12"/>
  <c r="L3" i="12"/>
  <c r="L2" i="12"/>
  <c r="L8" i="11"/>
  <c r="L7" i="11"/>
  <c r="L6" i="11"/>
  <c r="L5" i="11"/>
  <c r="L4" i="11"/>
  <c r="L3" i="11"/>
  <c r="L2" i="11"/>
  <c r="A25" i="1"/>
  <c r="L68" i="10" l="1"/>
  <c r="L67" i="10"/>
  <c r="L66" i="10"/>
  <c r="L65" i="10"/>
  <c r="L64" i="10"/>
  <c r="L63" i="10"/>
  <c r="L62" i="10"/>
  <c r="L61" i="10"/>
  <c r="L60" i="10"/>
  <c r="L59" i="10"/>
  <c r="L58" i="10"/>
  <c r="L57" i="10"/>
  <c r="L56" i="10"/>
  <c r="L55" i="10"/>
  <c r="L54" i="10"/>
  <c r="L53" i="10"/>
  <c r="L52" i="10"/>
  <c r="L51" i="10"/>
  <c r="L50" i="10"/>
  <c r="L49" i="10"/>
  <c r="L48" i="10"/>
  <c r="L47" i="10"/>
  <c r="L46" i="10"/>
  <c r="L45" i="10"/>
  <c r="L44" i="10"/>
  <c r="L43" i="10"/>
  <c r="L42" i="10"/>
  <c r="L41" i="10"/>
  <c r="L40" i="10"/>
  <c r="L39" i="10"/>
  <c r="L38" i="10"/>
  <c r="L37" i="10"/>
  <c r="L36" i="10"/>
  <c r="L35" i="10"/>
  <c r="L34" i="10"/>
  <c r="L33" i="10"/>
  <c r="L32" i="10"/>
  <c r="L31" i="10"/>
  <c r="L30" i="10"/>
  <c r="L29" i="10"/>
  <c r="L28" i="10"/>
  <c r="L27" i="10"/>
  <c r="L26" i="10"/>
  <c r="L25" i="10"/>
  <c r="L24" i="10"/>
  <c r="L23" i="10"/>
  <c r="L22" i="10"/>
  <c r="L21" i="10"/>
  <c r="L20" i="10"/>
  <c r="L19" i="10"/>
  <c r="L18" i="10"/>
  <c r="L17" i="10"/>
  <c r="L16" i="10"/>
  <c r="L15" i="10"/>
  <c r="L14" i="10"/>
  <c r="L13" i="10"/>
  <c r="L12" i="10"/>
  <c r="L11" i="10"/>
  <c r="L10" i="10"/>
  <c r="L9" i="10"/>
  <c r="L8" i="10"/>
  <c r="L7" i="10"/>
  <c r="L6" i="10"/>
  <c r="L5" i="10"/>
  <c r="L4" i="10"/>
  <c r="L3" i="10"/>
  <c r="L2" i="10"/>
  <c r="L18" i="9"/>
  <c r="L17" i="9"/>
  <c r="L16" i="9"/>
  <c r="L15" i="9"/>
  <c r="L14" i="9"/>
  <c r="L13" i="9"/>
  <c r="L12" i="9"/>
  <c r="L11" i="9"/>
  <c r="L10" i="9"/>
  <c r="L9" i="9"/>
  <c r="L8" i="9"/>
  <c r="L7" i="9"/>
  <c r="L6" i="9"/>
  <c r="L5" i="9"/>
  <c r="L4" i="9"/>
  <c r="L3" i="9"/>
  <c r="L2" i="9"/>
  <c r="L42" i="8"/>
  <c r="L41" i="8"/>
  <c r="L40" i="8"/>
  <c r="L39" i="8"/>
  <c r="L38" i="8"/>
  <c r="L37" i="8"/>
  <c r="L36" i="8"/>
  <c r="L35" i="8"/>
  <c r="L34" i="8"/>
  <c r="L33" i="8"/>
  <c r="L32" i="8"/>
  <c r="L31" i="8"/>
  <c r="L30" i="8"/>
  <c r="L29" i="8"/>
  <c r="L28" i="8"/>
  <c r="L27" i="8"/>
  <c r="L26" i="8"/>
  <c r="L25" i="8"/>
  <c r="L24" i="8"/>
  <c r="L23" i="8"/>
  <c r="L22" i="8"/>
  <c r="L21" i="8"/>
  <c r="L20" i="8"/>
  <c r="L19" i="8"/>
  <c r="L18" i="8"/>
  <c r="L17" i="8"/>
  <c r="L16" i="8"/>
  <c r="L15" i="8"/>
  <c r="L14" i="8"/>
  <c r="L13" i="8"/>
  <c r="L12" i="8"/>
  <c r="L11" i="8"/>
  <c r="L10" i="8"/>
  <c r="L9" i="8"/>
  <c r="L8" i="8"/>
  <c r="L7" i="8"/>
  <c r="L6" i="8"/>
  <c r="L5" i="8"/>
  <c r="L4" i="8"/>
  <c r="L3" i="8"/>
  <c r="L2" i="8"/>
  <c r="L49" i="7"/>
  <c r="L48" i="7"/>
  <c r="L47" i="7"/>
  <c r="L46" i="7"/>
  <c r="L45" i="7"/>
  <c r="L44" i="7"/>
  <c r="L43" i="7"/>
  <c r="L42" i="7"/>
  <c r="L41" i="7"/>
  <c r="L40" i="7"/>
  <c r="L39" i="7"/>
  <c r="L38" i="7"/>
  <c r="L37" i="7"/>
  <c r="L36" i="7"/>
  <c r="L35" i="7"/>
  <c r="L34" i="7"/>
  <c r="L33" i="7"/>
  <c r="L32" i="7"/>
  <c r="L31" i="7"/>
  <c r="L30" i="7"/>
  <c r="L29" i="7"/>
  <c r="L28" i="7"/>
  <c r="L27" i="7"/>
  <c r="L26" i="7"/>
  <c r="L25" i="7"/>
  <c r="L24" i="7"/>
  <c r="L23" i="7"/>
  <c r="L22" i="7"/>
  <c r="L21" i="7"/>
  <c r="L20" i="7"/>
  <c r="L19" i="7"/>
  <c r="L18" i="7"/>
  <c r="L17" i="7"/>
  <c r="L16" i="7"/>
  <c r="L15" i="7"/>
  <c r="L14" i="7"/>
  <c r="L13" i="7"/>
  <c r="L12" i="7"/>
  <c r="L11" i="7"/>
  <c r="L10" i="7"/>
  <c r="L9" i="7"/>
  <c r="L8" i="7"/>
  <c r="L7" i="7"/>
  <c r="L6" i="7"/>
  <c r="L5" i="7"/>
  <c r="L4" i="7"/>
  <c r="L3" i="7"/>
  <c r="L2" i="7"/>
  <c r="L79" i="6"/>
  <c r="L78" i="6"/>
  <c r="L77" i="6"/>
  <c r="L76" i="6"/>
  <c r="L75" i="6"/>
  <c r="L74" i="6"/>
  <c r="L73" i="6"/>
  <c r="L72" i="6"/>
  <c r="L71" i="6"/>
  <c r="L70" i="6"/>
  <c r="L69" i="6"/>
  <c r="L68" i="6"/>
  <c r="L67" i="6"/>
  <c r="L66" i="6"/>
  <c r="L65" i="6"/>
  <c r="L64" i="6"/>
  <c r="L63" i="6"/>
  <c r="L62" i="6"/>
  <c r="L61" i="6"/>
  <c r="L60" i="6"/>
  <c r="L59" i="6"/>
  <c r="L58" i="6"/>
  <c r="L57" i="6"/>
  <c r="L56" i="6"/>
  <c r="L55" i="6"/>
  <c r="L54" i="6"/>
  <c r="L53" i="6"/>
  <c r="L52" i="6"/>
  <c r="L51" i="6"/>
  <c r="L50" i="6"/>
  <c r="L49" i="6"/>
  <c r="L48" i="6"/>
  <c r="L47" i="6"/>
  <c r="L46" i="6"/>
  <c r="L45" i="6"/>
  <c r="L44" i="6"/>
  <c r="L43" i="6"/>
  <c r="L42" i="6"/>
  <c r="L41" i="6"/>
  <c r="L40" i="6"/>
  <c r="L39" i="6"/>
  <c r="L38" i="6"/>
  <c r="L37" i="6"/>
  <c r="L36" i="6"/>
  <c r="L35" i="6"/>
  <c r="L34" i="6"/>
  <c r="L33" i="6"/>
  <c r="L32" i="6"/>
  <c r="L31" i="6"/>
  <c r="L30" i="6"/>
  <c r="L29" i="6"/>
  <c r="L28" i="6"/>
  <c r="L27" i="6"/>
  <c r="L26" i="6"/>
  <c r="L25" i="6"/>
  <c r="L24" i="6"/>
  <c r="L23" i="6"/>
  <c r="L22" i="6"/>
  <c r="L21" i="6"/>
  <c r="L20" i="6"/>
  <c r="L19" i="6"/>
  <c r="L18" i="6"/>
  <c r="L17" i="6"/>
  <c r="L16" i="6"/>
  <c r="L15" i="6"/>
  <c r="L14" i="6"/>
  <c r="L13" i="6"/>
  <c r="L12" i="6"/>
  <c r="L11" i="6"/>
  <c r="L10" i="6"/>
  <c r="L9" i="6"/>
  <c r="L8" i="6"/>
  <c r="L7" i="6"/>
  <c r="L6" i="6"/>
  <c r="L5" i="6"/>
  <c r="L4" i="6"/>
  <c r="L3" i="6"/>
  <c r="L2" i="6"/>
  <c r="L44" i="5"/>
  <c r="L43" i="5"/>
  <c r="L42" i="5"/>
  <c r="L41" i="5"/>
  <c r="L40" i="5"/>
  <c r="L39" i="5"/>
  <c r="L38" i="5"/>
  <c r="L37" i="5"/>
  <c r="L36" i="5"/>
  <c r="L35" i="5"/>
  <c r="L34" i="5"/>
  <c r="L33" i="5"/>
  <c r="L32" i="5"/>
  <c r="L31" i="5"/>
  <c r="L30" i="5"/>
  <c r="L29" i="5"/>
  <c r="L28" i="5"/>
  <c r="L27" i="5"/>
  <c r="L26" i="5"/>
  <c r="L25" i="5"/>
  <c r="L24" i="5"/>
  <c r="L23" i="5"/>
  <c r="L22" i="5"/>
  <c r="L21" i="5"/>
  <c r="L20" i="5"/>
  <c r="L19" i="5"/>
  <c r="L18" i="5"/>
  <c r="L17" i="5"/>
  <c r="L16" i="5"/>
  <c r="L15" i="5"/>
  <c r="L14" i="5"/>
  <c r="L13" i="5"/>
  <c r="L12" i="5"/>
  <c r="L11" i="5"/>
  <c r="L10" i="5"/>
  <c r="L9" i="5"/>
  <c r="L8" i="5"/>
  <c r="L7" i="5"/>
  <c r="L6" i="5"/>
  <c r="L5" i="5"/>
  <c r="L4" i="5"/>
  <c r="L3" i="5"/>
  <c r="L2" i="5"/>
  <c r="L73" i="4"/>
  <c r="L72" i="4"/>
  <c r="L71" i="4"/>
  <c r="L70" i="4"/>
  <c r="L69" i="4"/>
  <c r="L68" i="4"/>
  <c r="L67" i="4"/>
  <c r="L66" i="4"/>
  <c r="L65" i="4"/>
  <c r="L64" i="4"/>
  <c r="L63" i="4"/>
  <c r="L62" i="4"/>
  <c r="L61" i="4"/>
  <c r="L60" i="4"/>
  <c r="L59" i="4"/>
  <c r="L58" i="4"/>
  <c r="L57" i="4"/>
  <c r="L56" i="4"/>
  <c r="L55" i="4"/>
  <c r="L54" i="4"/>
  <c r="L53" i="4"/>
  <c r="L52" i="4"/>
  <c r="L51" i="4"/>
  <c r="L50" i="4"/>
  <c r="L49" i="4"/>
  <c r="L48" i="4"/>
  <c r="L47" i="4"/>
  <c r="L46" i="4"/>
  <c r="L45" i="4"/>
  <c r="L44" i="4"/>
  <c r="L43" i="4"/>
  <c r="L42" i="4"/>
  <c r="L41" i="4"/>
  <c r="L40" i="4"/>
  <c r="L39" i="4"/>
  <c r="L38" i="4"/>
  <c r="L37" i="4"/>
  <c r="L36" i="4"/>
  <c r="L35" i="4"/>
  <c r="L34" i="4"/>
  <c r="L33" i="4"/>
  <c r="L32" i="4"/>
  <c r="L31" i="4"/>
  <c r="L30" i="4"/>
  <c r="L29" i="4"/>
  <c r="L28" i="4"/>
  <c r="L27" i="4"/>
  <c r="L26" i="4"/>
  <c r="L25" i="4"/>
  <c r="L24" i="4"/>
  <c r="L23" i="4"/>
  <c r="L22" i="4"/>
  <c r="L21" i="4"/>
  <c r="L20" i="4"/>
  <c r="L19" i="4"/>
  <c r="L18" i="4"/>
  <c r="L17" i="4"/>
  <c r="L16" i="4"/>
  <c r="L15" i="4"/>
  <c r="L14" i="4"/>
  <c r="L13" i="4"/>
  <c r="L12" i="4"/>
  <c r="L11" i="4"/>
  <c r="L10" i="4"/>
  <c r="L9" i="4"/>
  <c r="L8" i="4"/>
  <c r="L7" i="4"/>
  <c r="L6" i="4"/>
  <c r="L5" i="4"/>
  <c r="L4" i="4"/>
  <c r="L3" i="4"/>
  <c r="L2" i="4"/>
  <c r="L69" i="3"/>
  <c r="L68" i="3"/>
  <c r="L67" i="3"/>
  <c r="L66" i="3"/>
  <c r="L65" i="3"/>
  <c r="L64" i="3"/>
  <c r="L63" i="3"/>
  <c r="L62" i="3"/>
  <c r="L61" i="3"/>
  <c r="L60" i="3"/>
  <c r="L59" i="3"/>
  <c r="L58" i="3"/>
  <c r="L57" i="3"/>
  <c r="L56" i="3"/>
  <c r="L55" i="3"/>
  <c r="L54" i="3"/>
  <c r="L53" i="3"/>
  <c r="L52" i="3"/>
  <c r="L51" i="3"/>
  <c r="L50" i="3"/>
  <c r="L49" i="3"/>
  <c r="L48" i="3"/>
  <c r="L47" i="3"/>
  <c r="L46" i="3"/>
  <c r="L45" i="3"/>
  <c r="L44" i="3"/>
  <c r="L43" i="3"/>
  <c r="L42" i="3"/>
  <c r="L41" i="3"/>
  <c r="L40" i="3"/>
  <c r="L39" i="3"/>
  <c r="L38" i="3"/>
  <c r="L37" i="3"/>
  <c r="L36" i="3"/>
  <c r="L35" i="3"/>
  <c r="L34" i="3"/>
  <c r="L33" i="3"/>
  <c r="L32" i="3"/>
  <c r="L31" i="3"/>
  <c r="L30" i="3"/>
  <c r="L29" i="3"/>
  <c r="L28" i="3"/>
  <c r="L27" i="3"/>
  <c r="L26" i="3"/>
  <c r="L25" i="3"/>
  <c r="L24" i="3"/>
  <c r="L23" i="3"/>
  <c r="L22" i="3"/>
  <c r="L21" i="3"/>
  <c r="L20" i="3"/>
  <c r="L19" i="3"/>
  <c r="L18" i="3"/>
  <c r="L17" i="3"/>
  <c r="L16" i="3"/>
  <c r="L15" i="3"/>
  <c r="L14" i="3"/>
  <c r="L13" i="3"/>
  <c r="L12" i="3"/>
  <c r="L11" i="3"/>
  <c r="L10" i="3"/>
  <c r="L9" i="3"/>
  <c r="L8" i="3"/>
  <c r="L7" i="3"/>
  <c r="L6" i="3"/>
  <c r="L5" i="3"/>
  <c r="L4" i="3"/>
  <c r="L3" i="3"/>
  <c r="L2" i="3"/>
  <c r="L102" i="2"/>
  <c r="L101" i="2"/>
  <c r="L100" i="2"/>
  <c r="L99" i="2"/>
  <c r="L98" i="2"/>
  <c r="L97" i="2"/>
  <c r="L96" i="2"/>
  <c r="L95" i="2"/>
  <c r="L94" i="2"/>
  <c r="L93" i="2"/>
  <c r="L92" i="2"/>
  <c r="L91" i="2"/>
  <c r="L90" i="2"/>
  <c r="L89" i="2"/>
  <c r="L88" i="2"/>
  <c r="L87" i="2"/>
  <c r="L86" i="2"/>
  <c r="L85" i="2"/>
  <c r="L84" i="2"/>
  <c r="L83" i="2"/>
  <c r="L82" i="2"/>
  <c r="L81" i="2"/>
  <c r="L80" i="2"/>
  <c r="L79" i="2"/>
  <c r="L78" i="2"/>
  <c r="L77" i="2"/>
  <c r="L76" i="2"/>
  <c r="L75" i="2"/>
  <c r="L74" i="2"/>
  <c r="L73" i="2"/>
  <c r="L72" i="2"/>
  <c r="L71" i="2"/>
  <c r="L70" i="2"/>
  <c r="L69" i="2"/>
  <c r="L68" i="2"/>
  <c r="L67" i="2"/>
  <c r="L66" i="2"/>
  <c r="L65" i="2"/>
  <c r="L64" i="2"/>
  <c r="L63" i="2"/>
  <c r="L62" i="2"/>
  <c r="L61" i="2"/>
  <c r="L60" i="2"/>
  <c r="L59" i="2"/>
  <c r="L58" i="2"/>
  <c r="L57" i="2"/>
  <c r="L56" i="2"/>
  <c r="L55" i="2"/>
  <c r="L54" i="2"/>
  <c r="L53" i="2"/>
  <c r="L52" i="2"/>
  <c r="L51" i="2"/>
  <c r="L50" i="2"/>
  <c r="L49" i="2"/>
  <c r="L48" i="2"/>
  <c r="L47" i="2"/>
  <c r="L46" i="2"/>
  <c r="L45" i="2"/>
  <c r="L44" i="2"/>
  <c r="L43" i="2"/>
  <c r="L42" i="2"/>
  <c r="L41" i="2"/>
  <c r="L40" i="2"/>
  <c r="L39" i="2"/>
  <c r="L38" i="2"/>
  <c r="L37" i="2"/>
  <c r="L36" i="2"/>
  <c r="L35" i="2"/>
  <c r="L34" i="2"/>
  <c r="L33" i="2"/>
  <c r="L32" i="2"/>
  <c r="L31" i="2"/>
  <c r="L30" i="2"/>
  <c r="L29" i="2"/>
  <c r="L28" i="2"/>
  <c r="L27" i="2"/>
  <c r="L26" i="2"/>
  <c r="L25" i="2"/>
  <c r="L24" i="2"/>
  <c r="L23" i="2"/>
  <c r="L22" i="2"/>
  <c r="L21" i="2"/>
  <c r="L20" i="2"/>
  <c r="L19" i="2"/>
  <c r="L18" i="2"/>
  <c r="L17" i="2"/>
  <c r="L16" i="2"/>
  <c r="L15" i="2"/>
  <c r="L14" i="2"/>
  <c r="L13" i="2"/>
  <c r="L12" i="2"/>
  <c r="L11" i="2"/>
  <c r="L10" i="2"/>
  <c r="L9" i="2"/>
  <c r="L8" i="2"/>
  <c r="L7" i="2"/>
  <c r="L6" i="2"/>
  <c r="L5" i="2"/>
  <c r="L4" i="2"/>
  <c r="L3" i="2"/>
  <c r="L2" i="2"/>
</calcChain>
</file>

<file path=xl/sharedStrings.xml><?xml version="1.0" encoding="utf-8"?>
<sst xmlns="http://schemas.openxmlformats.org/spreadsheetml/2006/main" count="9900" uniqueCount="4059">
  <si>
    <t>Units</t>
  </si>
  <si>
    <t>Value</t>
  </si>
  <si>
    <t>UPC</t>
  </si>
  <si>
    <t>ITEM DESCRIPTION</t>
  </si>
  <si>
    <t>ORIGINAL QTY</t>
  </si>
  <si>
    <t>TOTAL ORIGINAL RETAIL</t>
  </si>
  <si>
    <t>VENDOR / STYLE #</t>
  </si>
  <si>
    <t>COLOR</t>
  </si>
  <si>
    <t>SIZE</t>
  </si>
  <si>
    <t>DEPARTMENT NAME</t>
  </si>
  <si>
    <t>VENDOR NAME</t>
  </si>
  <si>
    <t>COUNTRY OF ORIGIN</t>
  </si>
  <si>
    <t>FABRIC CONTENT</t>
  </si>
  <si>
    <t>IMAGE</t>
  </si>
  <si>
    <t>706258601814</t>
  </si>
  <si>
    <t>Martha Stewart Collection Floral 12-Pc. Dinnerware Set, No Color</t>
  </si>
  <si>
    <t>NO COLOR</t>
  </si>
  <si>
    <t>NO SIZE</t>
  </si>
  <si>
    <t>PB DNRWRE</t>
  </si>
  <si>
    <t>MARTHA STEWART/OVER &amp; BACK</t>
  </si>
  <si>
    <t>IMPORTED</t>
  </si>
  <si>
    <t>PORCELAIN</t>
  </si>
  <si>
    <t>24258482043</t>
  </si>
  <si>
    <t>Waterford Lismore Nouveau Platinum Flute</t>
  </si>
  <si>
    <t>FLUTE</t>
  </si>
  <si>
    <t>ST WWRD/WTRFD</t>
  </si>
  <si>
    <t>WATERFORD/FISKARS LIVING US LLC</t>
  </si>
  <si>
    <t>CRYSTAL</t>
  </si>
  <si>
    <t>795785264050</t>
  </si>
  <si>
    <t>Thirstystone Pink Alabaster Board Light Pink No Size</t>
  </si>
  <si>
    <t>N2746-MCY</t>
  </si>
  <si>
    <t>LT/PASPINK</t>
  </si>
  <si>
    <t>PROMO GIFTS</t>
  </si>
  <si>
    <t>THIRSTYSTONE/CZOC HOUSEWARES LLC</t>
  </si>
  <si>
    <t>ALABASTER</t>
  </si>
  <si>
    <t>701587301800</t>
  </si>
  <si>
    <t>Waterford Northbridge Bowl Clear</t>
  </si>
  <si>
    <t>641265450058</t>
  </si>
  <si>
    <t>Mikasa Dinnerware, Antique White 5 Pi</t>
  </si>
  <si>
    <t>KT056-611</t>
  </si>
  <si>
    <t>COMPLETER</t>
  </si>
  <si>
    <t>CASUAL CHINA</t>
  </si>
  <si>
    <t>MIKASA/LIFETIME BRANDS</t>
  </si>
  <si>
    <t>732998346081</t>
  </si>
  <si>
    <t>Martha Stewart Collection English Garden Tea Set, Create Blue</t>
  </si>
  <si>
    <t>22578001319</t>
  </si>
  <si>
    <t>Rabbit Pura Decanting System Glassblack No Size</t>
  </si>
  <si>
    <t>R2-14235</t>
  </si>
  <si>
    <t>P STM BR/GLSW</t>
  </si>
  <si>
    <t>METROKANE/LIFETIME BRANDS</t>
  </si>
  <si>
    <t>SODA-LIME GLASS/ACRYLIC/STAINLESS STEEL/SILICONE</t>
  </si>
  <si>
    <t>882864564320</t>
  </si>
  <si>
    <t>Lenox Lenox Belmont 5-Pc. Place Sett</t>
  </si>
  <si>
    <t>L854525</t>
  </si>
  <si>
    <t>SILVER</t>
  </si>
  <si>
    <t>5PCPLACEST</t>
  </si>
  <si>
    <t>FLATWARE</t>
  </si>
  <si>
    <t>LENOX</t>
  </si>
  <si>
    <t>18/10 STAINLESS STEEL</t>
  </si>
  <si>
    <t>882864658869</t>
  </si>
  <si>
    <t>Lenox Trent 5-Piece Place Setting Stainless</t>
  </si>
  <si>
    <t>L866683</t>
  </si>
  <si>
    <t>882864427137</t>
  </si>
  <si>
    <t>kate spade new york Set of 4 Larabee Dot Stemless</t>
  </si>
  <si>
    <t>L836201</t>
  </si>
  <si>
    <t>S SLV CY/SCG</t>
  </si>
  <si>
    <t>KATE SPADE CRYSTAL/LENOX</t>
  </si>
  <si>
    <t>GLASS</t>
  </si>
  <si>
    <t>733004950605</t>
  </si>
  <si>
    <t>Martha Stewart Collection Mother of Pearl 8 x 10 Pictu</t>
  </si>
  <si>
    <t>MOPFRME810</t>
  </si>
  <si>
    <t>8X10 SGLE</t>
  </si>
  <si>
    <t>PB PROMO GIFT</t>
  </si>
  <si>
    <t>MMG-MARTHA STEWART COLLECTION</t>
  </si>
  <si>
    <t>SILVER PLATE/MOTHER OF PEARL</t>
  </si>
  <si>
    <t>641393107138</t>
  </si>
  <si>
    <t>Design Art Designart Pathway In Plitvice Green</t>
  </si>
  <si>
    <t>PT9061-32-16</t>
  </si>
  <si>
    <t>GREEN</t>
  </si>
  <si>
    <t>FRAMES &amp;DECOR</t>
  </si>
  <si>
    <t>DESIGNART</t>
  </si>
  <si>
    <t>CANVAS</t>
  </si>
  <si>
    <t>24258307995</t>
  </si>
  <si>
    <t>Waterford Kilbarry Platinum Creamer</t>
  </si>
  <si>
    <t>CREAMER</t>
  </si>
  <si>
    <t>FORMAL CHINA</t>
  </si>
  <si>
    <t>663698315124</t>
  </si>
  <si>
    <t>VIETRI Incanto Lace Cereal Bowl White</t>
  </si>
  <si>
    <t>INC-1105D</t>
  </si>
  <si>
    <t>WHITE</t>
  </si>
  <si>
    <t>CEREALBOWL</t>
  </si>
  <si>
    <t>VIETRI INC</t>
  </si>
  <si>
    <t>EARTHENWARE</t>
  </si>
  <si>
    <t>882864732309</t>
  </si>
  <si>
    <t>Kate Spade All In Good TasteAnyway You S White No Size</t>
  </si>
  <si>
    <t>L875376</t>
  </si>
  <si>
    <t>LUNCHEON</t>
  </si>
  <si>
    <t>KATE SPADE KITCHEN/LENOX BRANDS</t>
  </si>
  <si>
    <t>STONEWARE</t>
  </si>
  <si>
    <t>882864288578</t>
  </si>
  <si>
    <t>Lenox All Purpose Glass, Firelight P</t>
  </si>
  <si>
    <t>L818213</t>
  </si>
  <si>
    <t>ICED BEVER</t>
  </si>
  <si>
    <t>LENOX INC</t>
  </si>
  <si>
    <t>42648248307</t>
  </si>
  <si>
    <t>Fiesta 5-Piece Place Setting Shamrock</t>
  </si>
  <si>
    <t>MED GREEN</t>
  </si>
  <si>
    <t>SGLPLCSET</t>
  </si>
  <si>
    <t>DINNRWR/CRMIC</t>
  </si>
  <si>
    <t>FIESTA TABLEWARE COMPANY (THE)</t>
  </si>
  <si>
    <t>MADE IN USA</t>
  </si>
  <si>
    <t>FULLY VITRIFIED CHINA WITH LEAD-FREE GLAZE</t>
  </si>
  <si>
    <t>91709437983</t>
  </si>
  <si>
    <t>Lenox Murray Hill Cup</t>
  </si>
  <si>
    <t>L6230049</t>
  </si>
  <si>
    <t>TEACUP</t>
  </si>
  <si>
    <t>BONE CHINA</t>
  </si>
  <si>
    <t>732995181227</t>
  </si>
  <si>
    <t>Martha Stewart Collection Gold Stem Red Wine Glasses, Se No Color No Size</t>
  </si>
  <si>
    <t>PB PRM STM/BR</t>
  </si>
  <si>
    <t>MARTHA STEWART-MMG</t>
  </si>
  <si>
    <t>882864288554</t>
  </si>
  <si>
    <t>Lenox Goblet, Firelight Platinum Sig</t>
  </si>
  <si>
    <t>L818211</t>
  </si>
  <si>
    <t>GOBLET</t>
  </si>
  <si>
    <t>882864288530</t>
  </si>
  <si>
    <t>Lenox Flute, Firelight Platinum Sign</t>
  </si>
  <si>
    <t>L818209</t>
  </si>
  <si>
    <t>795785264357</t>
  </si>
  <si>
    <t>Thirstystone Wine Bottle Board with Tools Medium Brown No Size</t>
  </si>
  <si>
    <t>N2719-MCY</t>
  </si>
  <si>
    <t>MED BROWN</t>
  </si>
  <si>
    <t>MADE IN CHINA</t>
  </si>
  <si>
    <t>ACACIA WOOD, STAINLESS STEEL</t>
  </si>
  <si>
    <t>882864358349</t>
  </si>
  <si>
    <t>Lenox Adore Iced Beverage Glass No Color</t>
  </si>
  <si>
    <t>L827761</t>
  </si>
  <si>
    <t>882864288493</t>
  </si>
  <si>
    <t>Lenox All Purpose Glass, Firelight S</t>
  </si>
  <si>
    <t>L818205</t>
  </si>
  <si>
    <t>882864356543</t>
  </si>
  <si>
    <t>Lenox Venetian Lace Signature All-Pu</t>
  </si>
  <si>
    <t>L827511</t>
  </si>
  <si>
    <t>732994518635</t>
  </si>
  <si>
    <t>Lucky Brand Luster 4-Pc. Flute Set</t>
  </si>
  <si>
    <t>LKYS4FLAMB</t>
  </si>
  <si>
    <t>LUCKY BRAND-MMG/WELLBEST IND LTD</t>
  </si>
  <si>
    <t>732994518628</t>
  </si>
  <si>
    <t>Lucky Brand Ombre Glass Carafe</t>
  </si>
  <si>
    <t>LKYCARFAM</t>
  </si>
  <si>
    <t>31009407101</t>
  </si>
  <si>
    <t>The Cellar The Cellar Serveware, Cake Sta</t>
  </si>
  <si>
    <t>THE CELLAR-MMG</t>
  </si>
  <si>
    <t>882864358363</t>
  </si>
  <si>
    <t>Lenox Adore Flute No Color</t>
  </si>
  <si>
    <t>L827763</t>
  </si>
  <si>
    <t>882864358400</t>
  </si>
  <si>
    <t>Lenox Adorn Wine Glass No Color</t>
  </si>
  <si>
    <t>L827767</t>
  </si>
  <si>
    <t>WINE</t>
  </si>
  <si>
    <t>882864288455</t>
  </si>
  <si>
    <t>Lenox Flute, Firelight Signature</t>
  </si>
  <si>
    <t>L818201</t>
  </si>
  <si>
    <t>882864358387</t>
  </si>
  <si>
    <t>Lenox Adore Goblet No Color</t>
  </si>
  <si>
    <t>L827765</t>
  </si>
  <si>
    <t>882864288516</t>
  </si>
  <si>
    <t>Lenox Wine Glass, Firelight Signatur</t>
  </si>
  <si>
    <t>L818207</t>
  </si>
  <si>
    <t>8004360065459</t>
  </si>
  <si>
    <t>Bormioli Rocco Diamond 6-Pc. Cooler Set Clear</t>
  </si>
  <si>
    <t>DIAMOND COOLER</t>
  </si>
  <si>
    <t>BORMIOLI ROCCO GLASS CO</t>
  </si>
  <si>
    <t>SODA-LIME GLASS</t>
  </si>
  <si>
    <t>882864356574</t>
  </si>
  <si>
    <t>Lenox Venetian Lace Signature Goblet</t>
  </si>
  <si>
    <t>L827514</t>
  </si>
  <si>
    <t>726895109573</t>
  </si>
  <si>
    <t>Martha Stewart Collection Shadowbox Linen 5 x 7 Frame No Color</t>
  </si>
  <si>
    <t>MSCSHDW57</t>
  </si>
  <si>
    <t>LINEN/STEEL</t>
  </si>
  <si>
    <t>745606464251</t>
  </si>
  <si>
    <t>Denby Fire Salad Plate Sage</t>
  </si>
  <si>
    <t>FIR-004SC</t>
  </si>
  <si>
    <t>DESSERTPLA</t>
  </si>
  <si>
    <t>DENBY POTTERY COMPANY</t>
  </si>
  <si>
    <t>732997127162</t>
  </si>
  <si>
    <t>Hotel Collection Ceramic Coaster Set with Holde Black</t>
  </si>
  <si>
    <t>HOTEL COLLECTION</t>
  </si>
  <si>
    <t>PORCELAIN/MDF</t>
  </si>
  <si>
    <t>882864438256</t>
  </si>
  <si>
    <t>Lenox Timeless Gold Signature All-Pu</t>
  </si>
  <si>
    <t>L837928</t>
  </si>
  <si>
    <t>701587007528</t>
  </si>
  <si>
    <t>Wedgwood Wedgwood Renaissance Red Appet No color</t>
  </si>
  <si>
    <t>BRDBTTRPLT</t>
  </si>
  <si>
    <t>WEDGWOOD/FISKARS LIVING US LLC</t>
  </si>
  <si>
    <t>FINE BONE CHINA</t>
  </si>
  <si>
    <t>732998346074</t>
  </si>
  <si>
    <t>Martha Stewart Collection English Garden Salad Plates, S Blue</t>
  </si>
  <si>
    <t>882864438270</t>
  </si>
  <si>
    <t>Lenox Timeless Gold Signature Flute</t>
  </si>
  <si>
    <t>L837930</t>
  </si>
  <si>
    <t>719978832222</t>
  </si>
  <si>
    <t>Thirstystone Champagne Gold Champagne Gold No Size</t>
  </si>
  <si>
    <t>E9374CPTR2BM</t>
  </si>
  <si>
    <t>LT BEIGE</t>
  </si>
  <si>
    <t>FIESTA/CAMBRIDGE SILVERSMITHS LTD</t>
  </si>
  <si>
    <t>STAINLESS STEEL</t>
  </si>
  <si>
    <t>882864289650</t>
  </si>
  <si>
    <t>Lenox Wine Glass, Eternal Gold Signa</t>
  </si>
  <si>
    <t>L818327</t>
  </si>
  <si>
    <t>882864288691</t>
  </si>
  <si>
    <t>Lenox Flute, Timeless Platinum Signa</t>
  </si>
  <si>
    <t>L818225</t>
  </si>
  <si>
    <t>882864289599</t>
  </si>
  <si>
    <t>Lenox Flute, Eternal Gold Signature</t>
  </si>
  <si>
    <t>L818321</t>
  </si>
  <si>
    <t>91574070339</t>
  </si>
  <si>
    <t>Jasper Conran Knightsbridge Iced Beverage</t>
  </si>
  <si>
    <t>732998190110</t>
  </si>
  <si>
    <t>Martha Stewart Collection English Garden Ranunculus Arti Pink Multi</t>
  </si>
  <si>
    <t>NT20000036</t>
  </si>
  <si>
    <t>MMG-MARTHA STEWART</t>
  </si>
  <si>
    <t>POLYESTER/CERAMIC/IRON</t>
  </si>
  <si>
    <t>766380757223</t>
  </si>
  <si>
    <t>Hotel Collection Bone China Espresso Cup and Sa No Color</t>
  </si>
  <si>
    <t>4PCESPRSET</t>
  </si>
  <si>
    <t>CUP/SAUCER</t>
  </si>
  <si>
    <t>PB FRML CHINA</t>
  </si>
  <si>
    <t>732995182354</t>
  </si>
  <si>
    <t>The Cellar Teal Stackable Glasses, Set of No Size</t>
  </si>
  <si>
    <t>CLSTCKTEAL</t>
  </si>
  <si>
    <t>732995182330</t>
  </si>
  <si>
    <t>The Cellar Clear Ribbed Double Old Fashio No Color No Size</t>
  </si>
  <si>
    <t>CLRIBDOF</t>
  </si>
  <si>
    <t>726895109597</t>
  </si>
  <si>
    <t>Martha Stewart Collection Brushed Metal 8 x 10 Frame No Color</t>
  </si>
  <si>
    <t>NBEAD810M</t>
  </si>
  <si>
    <t>STEEL</t>
  </si>
  <si>
    <t>91709458315</t>
  </si>
  <si>
    <t>kate spade new york Union Street Appetizer Plate</t>
  </si>
  <si>
    <t>L6258016</t>
  </si>
  <si>
    <t>BUTTERPLAT</t>
  </si>
  <si>
    <t>KATE SPADE CHINA/LENOX</t>
  </si>
  <si>
    <t>732995182323</t>
  </si>
  <si>
    <t>The Cellar CLOSEOUT The Cellar Set of 4 No Size</t>
  </si>
  <si>
    <t>CLPNKTMBLR</t>
  </si>
  <si>
    <t>882864563576</t>
  </si>
  <si>
    <t>Lenox Lenox Adorn Highball Glass</t>
  </si>
  <si>
    <t>L854450</t>
  </si>
  <si>
    <t>HIGH BALL</t>
  </si>
  <si>
    <t>732998348320</t>
  </si>
  <si>
    <t>Martha Stewart Collection Pierced Charger White</t>
  </si>
  <si>
    <t>MMG-MARTHA STEWART/YS CERAMICS CO</t>
  </si>
  <si>
    <t>733003535643</t>
  </si>
  <si>
    <t>Martha Stewart Collection Silver Bead Picture Frame</t>
  </si>
  <si>
    <t>NBEAD57</t>
  </si>
  <si>
    <t>5X7 SINGLE</t>
  </si>
  <si>
    <t>SILVER PLATE</t>
  </si>
  <si>
    <t>732998346104</t>
  </si>
  <si>
    <t>Martha Stewart Collection English Garden Tea Cups, Set o Blue</t>
  </si>
  <si>
    <t>843944144283</t>
  </si>
  <si>
    <t>TMD Holdings Fur mom stemless wine with dog Pink No Size</t>
  </si>
  <si>
    <t>TMD HOLDINGS</t>
  </si>
  <si>
    <t>GLASS AND COTTON</t>
  </si>
  <si>
    <t>882864803856</t>
  </si>
  <si>
    <t>Kate Spade Things We Love Sparkly Necklac Navy No Size</t>
  </si>
  <si>
    <t>L883721</t>
  </si>
  <si>
    <t>MUG</t>
  </si>
  <si>
    <t>KATE SPADE/LENOX INC</t>
  </si>
  <si>
    <t>795785264753</t>
  </si>
  <si>
    <t>Thirstystone Green Marble Coasters w Gold Dark Green No Size</t>
  </si>
  <si>
    <t>NM779-MCY</t>
  </si>
  <si>
    <t>DARK GREEN</t>
  </si>
  <si>
    <t>MARBLE</t>
  </si>
  <si>
    <t>882864803948</t>
  </si>
  <si>
    <t>Kate Spade Things We Love Classic Trench Navy No Size</t>
  </si>
  <si>
    <t>L883730</t>
  </si>
  <si>
    <t>786460804616</t>
  </si>
  <si>
    <t>Home Essentials Weathered Fish On Stand Figuri No Color</t>
  </si>
  <si>
    <t>HOME ESSENTIALS &amp; BEYOND</t>
  </si>
  <si>
    <t>WOOD/METAL</t>
  </si>
  <si>
    <t>795785265057</t>
  </si>
  <si>
    <t>Thirstystone Figural Beverage Chillers, Set Dark Green No Size</t>
  </si>
  <si>
    <t>NM782-MCY</t>
  </si>
  <si>
    <t>719978832215</t>
  </si>
  <si>
    <t>Thirstystone Wood Grain Wood Grain No Size</t>
  </si>
  <si>
    <t>E9372PTTR3BM</t>
  </si>
  <si>
    <t>BROWN</t>
  </si>
  <si>
    <t>732996933016</t>
  </si>
  <si>
    <t>The Cellar Holiday Cityscape Coasters, Se No Color</t>
  </si>
  <si>
    <t>THE CELLAR/OVER &amp; BACK</t>
  </si>
  <si>
    <t>732996703381</t>
  </si>
  <si>
    <t>Martha Stewart Collection Pumpkin Covered Soup Bowl No Color</t>
  </si>
  <si>
    <t>MARTHA STEWART-MMG/PALM TREE</t>
  </si>
  <si>
    <t>DOLOMITE</t>
  </si>
  <si>
    <t>85081371652</t>
  </si>
  <si>
    <t>Gibson Reactive Glaze Mustard Pasta B Mustard</t>
  </si>
  <si>
    <t>GIBSON OVERSEAS INC</t>
  </si>
  <si>
    <t>883314668599</t>
  </si>
  <si>
    <t>Luminarc Coupe 4-Pc. Cocktail Glass Set No Color No Size</t>
  </si>
  <si>
    <t>N6654</t>
  </si>
  <si>
    <t>ARC INTERNATIONAL NORTH AMERICA</t>
  </si>
  <si>
    <t>42648412692</t>
  </si>
  <si>
    <t>Fiesta 9 Lunch Plate Sage</t>
  </si>
  <si>
    <t>719978992636</t>
  </si>
  <si>
    <t>Cambridge Cambridge Priya Brass Mirror 5</t>
  </si>
  <si>
    <t>CAMBRIDGE SILVERSMITHS LTD</t>
  </si>
  <si>
    <t>48552557726</t>
  </si>
  <si>
    <t>Tabletops Unlimited San Marino Italian Blue Salt Blue</t>
  </si>
  <si>
    <t>TTU-Q2964</t>
  </si>
  <si>
    <t>SALTPEPPER</t>
  </si>
  <si>
    <t>VERSAILLES/TABLETOPS UNLIMITED</t>
  </si>
  <si>
    <t>843944144627</t>
  </si>
  <si>
    <t>TMD Holdings with family level glass 30oz s Clear No Size</t>
  </si>
  <si>
    <t>795785266757</t>
  </si>
  <si>
    <t>Thirstystone Tree Ring Bottle Opener Medium Brown No Size</t>
  </si>
  <si>
    <t>N2734-MCY</t>
  </si>
  <si>
    <t>STAINLESS STEEL, EUCALYPTUS WOOD</t>
  </si>
  <si>
    <t>843944144313</t>
  </si>
  <si>
    <t>TMD Holdings Sloth warm and cozy set of 2 2 Blue No Size</t>
  </si>
  <si>
    <t>732998346111</t>
  </si>
  <si>
    <t>Martha Stewart Collection English Garden Dinner Bowl Blue</t>
  </si>
  <si>
    <t>843944144641</t>
  </si>
  <si>
    <t>TMD Holdings FA LA LA Llama set of 2 22oz s Multi No Size</t>
  </si>
  <si>
    <t>706257386729</t>
  </si>
  <si>
    <t>Martha Stewart Collection Pink Color Block Placemat Pink</t>
  </si>
  <si>
    <t>TABLE LINENS</t>
  </si>
  <si>
    <t>MMG-MARTHA STEWART/SAM HEDAYA CORP</t>
  </si>
  <si>
    <t>COTTON</t>
  </si>
  <si>
    <t>706257386712</t>
  </si>
  <si>
    <t>Martha Stewart Collection Blue Color Block Placemat Blue</t>
  </si>
  <si>
    <t>706257386736</t>
  </si>
  <si>
    <t>Martha Stewart Collection White Color Block Placemat White</t>
  </si>
  <si>
    <t>843944120300</t>
  </si>
  <si>
    <t>TMD Holdings 2-Pc. White Luster Gold Stem Multi</t>
  </si>
  <si>
    <t>TMD5545</t>
  </si>
  <si>
    <t>722885506193</t>
  </si>
  <si>
    <t>Martha Stewart Collection 2-Pc. Beige Cotton Napkin Set</t>
  </si>
  <si>
    <t>MSCNAPBEIG</t>
  </si>
  <si>
    <t>ALL COTTON</t>
  </si>
  <si>
    <t>843944139371</t>
  </si>
  <si>
    <t>TMD Holdings CLOSEOUT TMD Holdings Elephan Periwinkle No Size</t>
  </si>
  <si>
    <t>10319BP</t>
  </si>
  <si>
    <t>SILICONE</t>
  </si>
  <si>
    <t>795785121551</t>
  </si>
  <si>
    <t>Thirstystone Black Marble Handle Corkscrew Black</t>
  </si>
  <si>
    <t>NM764-MCY</t>
  </si>
  <si>
    <t>BLACK</t>
  </si>
  <si>
    <t>MARBLE, STAINLESS STEEL</t>
  </si>
  <si>
    <t>722885507718</t>
  </si>
  <si>
    <t>Martha Stewart Collection Striped Navy Cotton Placemat</t>
  </si>
  <si>
    <t>MSCPLMSTNY</t>
  </si>
  <si>
    <t>85081371614</t>
  </si>
  <si>
    <t>Gibson Reactive Glaze Spice Cereal Bo Spice</t>
  </si>
  <si>
    <t>28332574341</t>
  </si>
  <si>
    <t>Kate Spade kate spade new york Larabee Do Brt Pink No Size</t>
  </si>
  <si>
    <t>145583NBK 044</t>
  </si>
  <si>
    <t>DARK PINK</t>
  </si>
  <si>
    <t>20X20</t>
  </si>
  <si>
    <t>KATE SPADE/TOWN &amp; COUNTRY LINEN</t>
  </si>
  <si>
    <t>COTTON/POLYESTER</t>
  </si>
  <si>
    <t>722885506247</t>
  </si>
  <si>
    <t>Martha Stewart Collection Striped Teal Cotton Placemat</t>
  </si>
  <si>
    <t>MSCPLMTEAL</t>
  </si>
  <si>
    <t>722885506230</t>
  </si>
  <si>
    <t>Martha Stewart Collection Striped Gray Cotton Placemat</t>
  </si>
  <si>
    <t>MSCPLMBLCK</t>
  </si>
  <si>
    <t>722885506254</t>
  </si>
  <si>
    <t>Martha Stewart Collection Striped Beige Cotton Placemat</t>
  </si>
  <si>
    <t>MSCPLMBEIG</t>
  </si>
  <si>
    <t>843944139364</t>
  </si>
  <si>
    <t>TMD Holdings CLOSEOUT TMD Holdings Diamond Blue No Size</t>
  </si>
  <si>
    <t>10318BP</t>
  </si>
  <si>
    <t>843944138565</t>
  </si>
  <si>
    <t>TMD Holdings TMD Holdings Pour Decisions Co Copper No Size</t>
  </si>
  <si>
    <t>9994BC</t>
  </si>
  <si>
    <t>706254177351</t>
  </si>
  <si>
    <t>Hotel Collection Bone China Berry Bowl</t>
  </si>
  <si>
    <t>SMLBOWL</t>
  </si>
  <si>
    <t>FRUITDISH</t>
  </si>
  <si>
    <t>25398192977</t>
  </si>
  <si>
    <t>Pfaltzgraff Hump Day Mug No Color</t>
  </si>
  <si>
    <t>PFALTZGRAFF/LIFETIME BRANDS INC</t>
  </si>
  <si>
    <t>25398180677</t>
  </si>
  <si>
    <t>Pfaltzgraff You Had Me At Meow Mug White</t>
  </si>
  <si>
    <t>25398195794</t>
  </si>
  <si>
    <t>Pfaltzgraff Hey There Cupcake Mug No Color</t>
  </si>
  <si>
    <t>25398195787</t>
  </si>
  <si>
    <t>Pfaltzgraff Hello Stud Muffin Mug No Color</t>
  </si>
  <si>
    <t>47596562307</t>
  </si>
  <si>
    <t>Bardwil Continental Colelction 13 X 1 Navy</t>
  </si>
  <si>
    <t>2262MATPM1NVY</t>
  </si>
  <si>
    <t>NAVY</t>
  </si>
  <si>
    <t>BARDWIL INDUSTRIES</t>
  </si>
  <si>
    <t>POLYESTER</t>
  </si>
  <si>
    <t>786460373143</t>
  </si>
  <si>
    <t>Home Essentials Holiday Tree Mini Votive Holde WhiteGold</t>
  </si>
  <si>
    <t>85081371690</t>
  </si>
  <si>
    <t>Gibson Reactive Glaze Black Fruit Bow Black</t>
  </si>
  <si>
    <t>733004938764</t>
  </si>
  <si>
    <t>Hotel Collection Bone China Accent Plate</t>
  </si>
  <si>
    <t>BCCOUPESLD</t>
  </si>
  <si>
    <t>672275310018</t>
  </si>
  <si>
    <t>CABO CANDLESTICK PAIR</t>
  </si>
  <si>
    <t>MT1001</t>
  </si>
  <si>
    <t>KHAKI</t>
  </si>
  <si>
    <t>NAMBE MILLS INC</t>
  </si>
  <si>
    <t>732996817538</t>
  </si>
  <si>
    <t>5PC BLACKLINE BUNDLE</t>
  </si>
  <si>
    <t>732996817569</t>
  </si>
  <si>
    <t>BLACKLINE BUNDLE 2</t>
  </si>
  <si>
    <t>790955870000</t>
  </si>
  <si>
    <t>CM TAC 02 RED WINE</t>
  </si>
  <si>
    <t>69948-016001-48038</t>
  </si>
  <si>
    <t>ROSENTHAL SAMBONET USA, LTD</t>
  </si>
  <si>
    <t>885991174127</t>
  </si>
  <si>
    <t>DELANO SATIN 5PC</t>
  </si>
  <si>
    <t>885991174134</t>
  </si>
  <si>
    <t>DELANO GOLD 5PC</t>
  </si>
  <si>
    <t>28225354241</t>
  </si>
  <si>
    <t>CAPRI FROST DISPLAY</t>
  </si>
  <si>
    <t>WALLACE/LIFETIME BRANDS</t>
  </si>
  <si>
    <t>885991174516</t>
  </si>
  <si>
    <t>DRAFT - Delete Grey Group</t>
  </si>
  <si>
    <t>882864696670</t>
  </si>
  <si>
    <t>PORTOLA 5PPS</t>
  </si>
  <si>
    <t>L871426</t>
  </si>
  <si>
    <t>78737886082</t>
  </si>
  <si>
    <t>SATIN SAND DUNE BASIC</t>
  </si>
  <si>
    <t>2641005C</t>
  </si>
  <si>
    <t>ONEIDA GROUP INC (THE)</t>
  </si>
  <si>
    <t>719978820809</t>
  </si>
  <si>
    <t>COPPER DINNER KNIFE BASIC</t>
  </si>
  <si>
    <t>500705MM</t>
  </si>
  <si>
    <t>RUSTCOPPER</t>
  </si>
  <si>
    <t>THIRSTYSTONE/CAMBRIDGE SILVERSMITHS</t>
  </si>
  <si>
    <t>719978820755</t>
  </si>
  <si>
    <t>BLACK SATIN DINNER KNIFEBASIC</t>
  </si>
  <si>
    <t>287605MM</t>
  </si>
  <si>
    <t>719978822537</t>
  </si>
  <si>
    <t>DRAFT - CLOSEOUT Thirstystone Multicolor No Size</t>
  </si>
  <si>
    <t>938354TB</t>
  </si>
  <si>
    <t>846225027732</t>
  </si>
  <si>
    <t>Xia Home Fashions Xia Home Fashions Antebella La White</t>
  </si>
  <si>
    <t>XD1719072144WHITE</t>
  </si>
  <si>
    <t>INTREPID INTL TRADING CO LLC</t>
  </si>
  <si>
    <t>792977197318</t>
  </si>
  <si>
    <t>Uttermost Ribbon Metal Candleholders No Color</t>
  </si>
  <si>
    <t>UTTERMOST CO.</t>
  </si>
  <si>
    <t>IRON WITH AN ANTIQUED, BRONZE-TONE METAL FINISH; COPPER BROWN GLASS; WAX CANDLES</t>
  </si>
  <si>
    <t>790824456816</t>
  </si>
  <si>
    <t>Michael Aram Twist Menorah Silver No Size</t>
  </si>
  <si>
    <t>MICHAEL ARAM INC</t>
  </si>
  <si>
    <t>NICKEL PLATE</t>
  </si>
  <si>
    <t>671131852242</t>
  </si>
  <si>
    <t>Design Art Designart Oversized Modern Met White</t>
  </si>
  <si>
    <t>CLM10276-30-40</t>
  </si>
  <si>
    <t>ALUMINIUM, WOOD, INK</t>
  </si>
  <si>
    <t>616241345734</t>
  </si>
  <si>
    <t>iCanvas iCanvas Metallic Mountains by</t>
  </si>
  <si>
    <t>SFD67-5</t>
  </si>
  <si>
    <t>KROTO/ICANVAS</t>
  </si>
  <si>
    <t>ARTIST-GRADE COTTON/POLY CANVAS AND NORTH AMERICAN ANTI-SHRINK PINE WOOD BARS, ANTI-FADE EPSON ULTRACHROME INKS, INDONESIAN HARDWOOD FRAME - FRAMED ITEMS ONLY</t>
  </si>
  <si>
    <t>701587336031</t>
  </si>
  <si>
    <t>ED Ellen Degeneres Brushed Glaze 16Pc White</t>
  </si>
  <si>
    <t>4PLCSET16</t>
  </si>
  <si>
    <t>ED ELLEN/FISKARS LIVING US LLC</t>
  </si>
  <si>
    <t>92764035411</t>
  </si>
  <si>
    <t>Spode Spode Delamare 5 Piece Place S</t>
  </si>
  <si>
    <t>ROYAL WORCESTER-SPODE/PORTMEIRION</t>
  </si>
  <si>
    <t>813924013656</t>
  </si>
  <si>
    <t>RiverRidge Home Riverridge Beaded 46 Piece Mon Silver</t>
  </si>
  <si>
    <t>10-154</t>
  </si>
  <si>
    <t>RIVERRIDGE HOME/SOURCING SOLUTIONS</t>
  </si>
  <si>
    <t>88235621023</t>
  </si>
  <si>
    <t>Jay Imports Cadence Blue 16PC Set Whitebl</t>
  </si>
  <si>
    <t>7083-16-RB</t>
  </si>
  <si>
    <t>JAY IMPORT COMPANY INC</t>
  </si>
  <si>
    <t>79363011138</t>
  </si>
  <si>
    <t>Oneida Oneida Michelangelo Gold 5 Pie Gold</t>
  </si>
  <si>
    <t>F100005A</t>
  </si>
  <si>
    <t>GOLD</t>
  </si>
  <si>
    <t>667880905957</t>
  </si>
  <si>
    <t>Chilewich Chilewich Skinny Stripe Utilit Birch</t>
  </si>
  <si>
    <t>SHAG014</t>
  </si>
  <si>
    <t>CHILEWICH SULTAN LLC</t>
  </si>
  <si>
    <t>VINYL</t>
  </si>
  <si>
    <t>27826002414</t>
  </si>
  <si>
    <t>Studio Cuisine None Stainless</t>
  </si>
  <si>
    <t>STUDIO CUISINE/ROBINSON HOME PROD</t>
  </si>
  <si>
    <t>18/0 STAINLESS STEEL</t>
  </si>
  <si>
    <t>882864731180</t>
  </si>
  <si>
    <t>kate spade new york Cannon Street Botanical Accent Cream</t>
  </si>
  <si>
    <t>L875244</t>
  </si>
  <si>
    <t>SETS</t>
  </si>
  <si>
    <t>78737138006</t>
  </si>
  <si>
    <t>Oneida Oneida Karen MacNeil Flavor Fi Crystal No Size</t>
  </si>
  <si>
    <t>2370029RT6</t>
  </si>
  <si>
    <t>8906098010940</t>
  </si>
  <si>
    <t>Villa2 Villa2 Jaali Hurricane 3 Dia Brown No Size</t>
  </si>
  <si>
    <t>66185020M</t>
  </si>
  <si>
    <t>VILLA2 INC</t>
  </si>
  <si>
    <t>METAL, WOOD</t>
  </si>
  <si>
    <t>675716981198</t>
  </si>
  <si>
    <t>JLA Home Madison Park Cluster Fern Leaf Goldbrown No Size</t>
  </si>
  <si>
    <t>MP167-0139</t>
  </si>
  <si>
    <t>NATORI/JLA HOME/E &amp; E CO LTD</t>
  </si>
  <si>
    <t>FIR WOOD WITH NATURAL FINISH; IRON WITH PAINTED GOLD-TONE FINISH</t>
  </si>
  <si>
    <t>882864391223</t>
  </si>
  <si>
    <t>Lenox Tuscany Buy 4 Get 6 White Wine No Color</t>
  </si>
  <si>
    <t>L831665</t>
  </si>
  <si>
    <t>676685026828</t>
  </si>
  <si>
    <t>Climbing Man Climbing Man Wall Art Black 6</t>
  </si>
  <si>
    <t>LIFESTYLE GROUP DISTRIBUTION USA</t>
  </si>
  <si>
    <t>RESIN, POLYURETHANE</t>
  </si>
  <si>
    <t>882864578716</t>
  </si>
  <si>
    <t>Lenox Lenox Butterfly Meadow Set of</t>
  </si>
  <si>
    <t>L856373</t>
  </si>
  <si>
    <t>DINNERPLAT</t>
  </si>
  <si>
    <t>MELAMINE</t>
  </si>
  <si>
    <t>846225031913</t>
  </si>
  <si>
    <t>Manor Luxe Manor Luxe Magical Snowflakes Dark Blue</t>
  </si>
  <si>
    <t>XD198021570BLU</t>
  </si>
  <si>
    <t>BRIGHTBLUE</t>
  </si>
  <si>
    <t>846225032866</t>
  </si>
  <si>
    <t>Manor Luxe Manor Luxe Santa Claus Riding Linen</t>
  </si>
  <si>
    <t>XD198841570</t>
  </si>
  <si>
    <t>POLYESTER, LINEN</t>
  </si>
  <si>
    <t>99967267151</t>
  </si>
  <si>
    <t>Picnic Time Beverage Tote, NFL Teams 12 Pa Dallas Cowboys - Navy</t>
  </si>
  <si>
    <t>611-00-138-094-2</t>
  </si>
  <si>
    <t>OUTDOOR LIVNG</t>
  </si>
  <si>
    <t>PICNIC TIME</t>
  </si>
  <si>
    <t>846225032156</t>
  </si>
  <si>
    <t>Manor Luxe Rustic Pumpkin Crewel Embroide Off White 70x15</t>
  </si>
  <si>
    <t>XD198081570LN</t>
  </si>
  <si>
    <t>641265413909</t>
  </si>
  <si>
    <t>Mikasa Clear Cheers White Wine Glas</t>
  </si>
  <si>
    <t>SW910-403</t>
  </si>
  <si>
    <t>28199828687</t>
  </si>
  <si>
    <t>Godinger Godinger Pique Gold 16-PC Plai White</t>
  </si>
  <si>
    <t>GODINGER INTERNATIONAL</t>
  </si>
  <si>
    <t>42648268312</t>
  </si>
  <si>
    <t>Fiesta 4-Piece Place Setting Scarlet</t>
  </si>
  <si>
    <t>706258120995</t>
  </si>
  <si>
    <t>Martha Stewart Collection 7-Pc. Bar Tool Set Silver</t>
  </si>
  <si>
    <t>MS7PCBRSET</t>
  </si>
  <si>
    <t>701587146333</t>
  </si>
  <si>
    <t>Marquis by Waterford Marquis by Waterford Patterson</t>
  </si>
  <si>
    <t>MARQUIS/FISKARS LIVING US LLC</t>
  </si>
  <si>
    <t>795785461756</t>
  </si>
  <si>
    <t>Thirstystone Thirstystone Marble Condiment Grey</t>
  </si>
  <si>
    <t>NM814-MCY</t>
  </si>
  <si>
    <t>GRAY</t>
  </si>
  <si>
    <t>91212485914</t>
  </si>
  <si>
    <t>Brewster Home Fashions Sand Door Privacy Film</t>
  </si>
  <si>
    <t>WALLPOPS/BREWSTER WALLCOVERINGS CO</t>
  </si>
  <si>
    <t>795785124453</t>
  </si>
  <si>
    <t>Thirstystone Ceramic Pitcher Medium Green</t>
  </si>
  <si>
    <t>N2647-MCY</t>
  </si>
  <si>
    <t>28199632000</t>
  </si>
  <si>
    <t>Godinger Godinger 2 Qt Rectangular Bake White</t>
  </si>
  <si>
    <t>28199446232</t>
  </si>
  <si>
    <t>Godinger Godinger Monterey Champagne Fl Multi No Size</t>
  </si>
  <si>
    <t>ASSORTED</t>
  </si>
  <si>
    <t>CRYSTAL GLASS</t>
  </si>
  <si>
    <t>692789102343</t>
  </si>
  <si>
    <t>St. Croix St. Croix KINDWER Large Beaded Silver NO SIZE</t>
  </si>
  <si>
    <t>A1232</t>
  </si>
  <si>
    <t>ST CROIX TRADING COMPANY</t>
  </si>
  <si>
    <t>ALUMINUM</t>
  </si>
  <si>
    <t>858000007181</t>
  </si>
  <si>
    <t>JoyJolt JoyJolt Layla Champagne Glasse Clear 6.70 oz</t>
  </si>
  <si>
    <t>JC102114</t>
  </si>
  <si>
    <t>BRNOVERFLW</t>
  </si>
  <si>
    <t>MM PRODUCTS INC DBA JOYJOLT</t>
  </si>
  <si>
    <t>608356300203</t>
  </si>
  <si>
    <t>The Cellar The Cellar 2.5-Gallon Barrel B</t>
  </si>
  <si>
    <t>BARRELDISP</t>
  </si>
  <si>
    <t>MMG-THE CELLAR</t>
  </si>
  <si>
    <t>BODY: GLASS; SPIGOT: PLASTIC</t>
  </si>
  <si>
    <t>795785701708</t>
  </si>
  <si>
    <t>Thirstystone Set of 3 Marble Handle Cheese Black No Size</t>
  </si>
  <si>
    <t>NM503</t>
  </si>
  <si>
    <t>MARBLE; METAL</t>
  </si>
  <si>
    <t>99967234597</t>
  </si>
  <si>
    <t>Picnic Time Topanga Cooler Tote Navy</t>
  </si>
  <si>
    <t>619-00-138-000-0</t>
  </si>
  <si>
    <t>POLYESTER/POLYVINYL CHLORIDE</t>
  </si>
  <si>
    <t>28588701805</t>
  </si>
  <si>
    <t>Oenophilia Oenophilia Slate Large Cheese Grey</t>
  </si>
  <si>
    <t>OENOPHILIA INC</t>
  </si>
  <si>
    <t>SLATE</t>
  </si>
  <si>
    <t>28199270011</t>
  </si>
  <si>
    <t>Godinger Godinger Claro Set of Four 4 D Clear</t>
  </si>
  <si>
    <t>719978827907</t>
  </si>
  <si>
    <t>Thirstystone 18oz Blue Marble Stainless Ste Blue Marble No Size</t>
  </si>
  <si>
    <t>94655QTWDS</t>
  </si>
  <si>
    <t>TURQ/AQUA</t>
  </si>
  <si>
    <t>26865924732</t>
  </si>
  <si>
    <t>Elrene Barcelona Damask Tablecloth Co Antique No Size</t>
  </si>
  <si>
    <t>21041ANT</t>
  </si>
  <si>
    <t>BEIGE</t>
  </si>
  <si>
    <t>17X17</t>
  </si>
  <si>
    <t>VILLEROY &amp; BOCH/ELRENE HOME FASHN</t>
  </si>
  <si>
    <t>719978835094</t>
  </si>
  <si>
    <t>Thirstystone 20 oz Pink Ombre Straw Tumbler Pink Ombre No Size</t>
  </si>
  <si>
    <t>EMS204PNTS2BM</t>
  </si>
  <si>
    <t>PINK</t>
  </si>
  <si>
    <t>732997414651</t>
  </si>
  <si>
    <t>Martha Stewart Collection Essentials 12-Pc. Flutes Set Clear No Size</t>
  </si>
  <si>
    <t>MS ESSENTIALS-EDI/ARC INTL</t>
  </si>
  <si>
    <t>194372000703</t>
  </si>
  <si>
    <t>Lenox None White Body With Multi-color Bo</t>
  </si>
  <si>
    <t>L890785</t>
  </si>
  <si>
    <t>47596561157</t>
  </si>
  <si>
    <t>Lenox French Perle Collection 70 Pi Pistachio</t>
  </si>
  <si>
    <t>7464070RUNPIS</t>
  </si>
  <si>
    <t>LENOX/ARLEE HOME FASHIONS INC</t>
  </si>
  <si>
    <t>706257255858</t>
  </si>
  <si>
    <t>Hotel Collection Modern Dinnerware Porcelain Se Stone</t>
  </si>
  <si>
    <t>HM8INSTONE</t>
  </si>
  <si>
    <t>SERVINGBWL</t>
  </si>
  <si>
    <t>667880917271</t>
  </si>
  <si>
    <t>Chilewich Grey Flannel GREY FLANN</t>
  </si>
  <si>
    <t>NAPR007</t>
  </si>
  <si>
    <t>MED GRAY</t>
  </si>
  <si>
    <t>28199454626</t>
  </si>
  <si>
    <t>Godinger Godinger Clear Wine Bottle - S Clear No Size</t>
  </si>
  <si>
    <t>882864826855</t>
  </si>
  <si>
    <t>kate spade new york kate spade new York Willow Dri Cream</t>
  </si>
  <si>
    <t>L886577</t>
  </si>
  <si>
    <t>SQR TRIVET</t>
  </si>
  <si>
    <t>842896118069</t>
  </si>
  <si>
    <t>Zuo Stoneware Metal Medium Vase Black</t>
  </si>
  <si>
    <t>A10398</t>
  </si>
  <si>
    <t>CHARCOAL</t>
  </si>
  <si>
    <t>ZUO MODERN CONTEMPORARY INC</t>
  </si>
  <si>
    <t>CERAMIC</t>
  </si>
  <si>
    <t>795785735604</t>
  </si>
  <si>
    <t>Thirstystone Thirstystone Bling Penguin Bot Silver No Size</t>
  </si>
  <si>
    <t>N1978</t>
  </si>
  <si>
    <t>ZINC ALLOY, SILICONE</t>
  </si>
  <si>
    <t>45987229570</t>
  </si>
  <si>
    <t>Philip Whitney Pw Thin Easel 5x7 Silver</t>
  </si>
  <si>
    <t>PHILIP WHITNEY LTD</t>
  </si>
  <si>
    <t>667880901393</t>
  </si>
  <si>
    <t>Chilewich Bamboo Woven Vinyl Placemat Sq Smoke</t>
  </si>
  <si>
    <t>PMAT210</t>
  </si>
  <si>
    <t>WOVEN VINYL-COATED POLYESTER</t>
  </si>
  <si>
    <t>732996565118</t>
  </si>
  <si>
    <t>Martha Stewart Collection Dolce Vita Blue Dinner Bowl, C Blue</t>
  </si>
  <si>
    <t>27826001493</t>
  </si>
  <si>
    <t>Craft Kitchen Craft Kitchen Tall Drink Spoon Stainless</t>
  </si>
  <si>
    <t>CRAFT KITCHEN/ROBINSON HOME PROD</t>
  </si>
  <si>
    <t>18-0 STAINLESS STEEL</t>
  </si>
  <si>
    <t>786460495371</t>
  </si>
  <si>
    <t>Home Essentials Dolce Vita Herb Planters Natural</t>
  </si>
  <si>
    <t>28199646144</t>
  </si>
  <si>
    <t>Godinger Serenade Peanut Dish Clear</t>
  </si>
  <si>
    <t>NON-LEAD CRYSTAL</t>
  </si>
  <si>
    <t>667880904028</t>
  </si>
  <si>
    <t>Chilewich Table Linens, Solid Linen Napk White</t>
  </si>
  <si>
    <t>NAPK010</t>
  </si>
  <si>
    <t>LINEN</t>
  </si>
  <si>
    <t>11381053806</t>
  </si>
  <si>
    <t>Bormioli Rocco Bormioli Rocco Fido Square Cha</t>
  </si>
  <si>
    <t>149210M04321656</t>
  </si>
  <si>
    <t>MADE IN ITALY</t>
  </si>
  <si>
    <t>706257255872</t>
  </si>
  <si>
    <t>Hotel Collection Modern Dinnerware Porcelain Be Slate</t>
  </si>
  <si>
    <t>HMBRRYSLT</t>
  </si>
  <si>
    <t>MED BLUE</t>
  </si>
  <si>
    <t>47596142349</t>
  </si>
  <si>
    <t>Lenox Lenox Opal Innocence Napkin White 19 inches</t>
  </si>
  <si>
    <t>47596043776</t>
  </si>
  <si>
    <t>Lenox Laurel Leaf Napkin, 19 Platinum</t>
  </si>
  <si>
    <t>19X19</t>
  </si>
  <si>
    <t>47596162668</t>
  </si>
  <si>
    <t>Lenox Lenox Opal Innocence Napkin Ivory 19 inches</t>
  </si>
  <si>
    <t>47596030745</t>
  </si>
  <si>
    <t>Lenox French Perle Stripe Collection Ice Blue</t>
  </si>
  <si>
    <t>7505NAPNA1ICB</t>
  </si>
  <si>
    <t>BLUE</t>
  </si>
  <si>
    <t>25398190447</t>
  </si>
  <si>
    <t>Pfaltzgraff XOXO Bike Mug White</t>
  </si>
  <si>
    <t>795785334555</t>
  </si>
  <si>
    <t>Thirstystone The Future is Female Coaster Light Gray No Size</t>
  </si>
  <si>
    <t>FS-LSS5</t>
  </si>
  <si>
    <t>LT/PAS GRY</t>
  </si>
  <si>
    <t>GYPSUM, CORK</t>
  </si>
  <si>
    <t>400013532749</t>
  </si>
  <si>
    <t>CRC GENERIC</t>
  </si>
  <si>
    <t>UPC DEFAULT</t>
  </si>
  <si>
    <t>NON-MRCHNDSE USE ONLY</t>
  </si>
  <si>
    <t>883893657342</t>
  </si>
  <si>
    <t>Vera Wang Grisaille Weave Queen Duvet Co Onyx Queen</t>
  </si>
  <si>
    <t>USHSFM1145613</t>
  </si>
  <si>
    <t>NEO COLLECTNS</t>
  </si>
  <si>
    <t>VERA WANG/REVMAN INTERNATIONAL</t>
  </si>
  <si>
    <t>MADE IN INDIA</t>
  </si>
  <si>
    <t>75% COTTON, 25% POLYESTER</t>
  </si>
  <si>
    <t>732997259849</t>
  </si>
  <si>
    <t>Hotel Collection Hotel Collection Italian Perca Champagne King</t>
  </si>
  <si>
    <t>100068761KG</t>
  </si>
  <si>
    <t>HOTEL LUX BDG</t>
  </si>
  <si>
    <t>HOTEL BY CHARTER CLUB-MMG</t>
  </si>
  <si>
    <t>628961002439</t>
  </si>
  <si>
    <t>Small World Home Cheshire 14-Pc. King Comforter Black King</t>
  </si>
  <si>
    <t>JET9826</t>
  </si>
  <si>
    <t>MOD BEDDING</t>
  </si>
  <si>
    <t>JETRICH CANADA LIMITED</t>
  </si>
  <si>
    <t>849785014631</t>
  </si>
  <si>
    <t>Perthshire Platinum Collection 1000 TC Solid Sateen Queen She Glacier Grey Queen</t>
  </si>
  <si>
    <t>P-1000Q-GLA</t>
  </si>
  <si>
    <t>QNCOMFORTE</t>
  </si>
  <si>
    <t>SHEETS &amp;CASES</t>
  </si>
  <si>
    <t>H.N. INTERNATIONAL GROUP INC</t>
  </si>
  <si>
    <t>100% COMBED COTTON</t>
  </si>
  <si>
    <t>735837574249</t>
  </si>
  <si>
    <t>Hotel Collection European White Goose Down Medi White Standard</t>
  </si>
  <si>
    <t>HWGDJM12</t>
  </si>
  <si>
    <t>PILLOWS &amp; PAD</t>
  </si>
  <si>
    <t>HOTEL BY C CLUB-EDI/PHOENIX DOWN</t>
  </si>
  <si>
    <t>REMOVABLE OUTER COVER: 100% COTTON; FILL: GOOSE DOWN; FILL POWER: 700</t>
  </si>
  <si>
    <t>706257253694</t>
  </si>
  <si>
    <t>Hotel Collection 680 Thread-Count Queen Duvet C White FullQueen</t>
  </si>
  <si>
    <t>68W11QD790</t>
  </si>
  <si>
    <t>HOTEL COLLECTION-MMG/HIMATSINGKA</t>
  </si>
  <si>
    <t>883893687110</t>
  </si>
  <si>
    <t>Poppy Fritz Poppy Fritz Connery Stripe K Heather Gray King</t>
  </si>
  <si>
    <t>USHSFN1162969</t>
  </si>
  <si>
    <t>YOUNG CL HOME</t>
  </si>
  <si>
    <t>POPPY &amp; FRITZ/REVMAN INTERNATIONAL</t>
  </si>
  <si>
    <t>732999172603</t>
  </si>
  <si>
    <t>Charter Club Damask Designs Woven Leaves Co White King</t>
  </si>
  <si>
    <t>100078678KG</t>
  </si>
  <si>
    <t>CHRT CLB DSGN</t>
  </si>
  <si>
    <t>CHARTER CLUB/SHANGHAI SUNWIN IN</t>
  </si>
  <si>
    <t>675716809607</t>
  </si>
  <si>
    <t>Madison Park Madison Park Harper Velvet 3-P Taupe FullQueen</t>
  </si>
  <si>
    <t>MP13-3305</t>
  </si>
  <si>
    <t>BEIGEKHAKI</t>
  </si>
  <si>
    <t>DEC PILL/THRW</t>
  </si>
  <si>
    <t>JLA HOME/E &amp; E CO LTD</t>
  </si>
  <si>
    <t>FABRIC: POLYESTER; COVERLET FILL: COTTON/POLYESTER/OTHER 85 GSM</t>
  </si>
  <si>
    <t>675716546809</t>
  </si>
  <si>
    <t>Madison Park Madison Park Tuscany 3-Pc King White KingCalifornia King</t>
  </si>
  <si>
    <t>MP13-1038</t>
  </si>
  <si>
    <t>POLYESTER/COTTON</t>
  </si>
  <si>
    <t>86569193599</t>
  </si>
  <si>
    <t>Madison Park Leona FullQueen 3 Piece Pom P Ivory FullQueen</t>
  </si>
  <si>
    <t>MP12-6214</t>
  </si>
  <si>
    <t>NATURAL</t>
  </si>
  <si>
    <t>41808859797</t>
  </si>
  <si>
    <t>Urban Playground Heart 4-Pc. Twin Quilt Set Lavender Twin</t>
  </si>
  <si>
    <t>A011317LANAS</t>
  </si>
  <si>
    <t>LT/PAS PUR</t>
  </si>
  <si>
    <t>PEKING HANDICRAFT INC</t>
  </si>
  <si>
    <t>86569326744</t>
  </si>
  <si>
    <t>Premier Comfort Premier Comfort Faux Fur Elect White</t>
  </si>
  <si>
    <t>MCC54-2145</t>
  </si>
  <si>
    <t>70X52</t>
  </si>
  <si>
    <t>PB BLANKETS</t>
  </si>
  <si>
    <t>85214096537</t>
  </si>
  <si>
    <t>Disney Finding Nemo 3-Pc. Crib Beddin Turquoise ONE SIZE</t>
  </si>
  <si>
    <t>NOJO BABY &amp; KIDS INC</t>
  </si>
  <si>
    <t>732997493953</t>
  </si>
  <si>
    <t>Charter Club Damask Cotton 550-Thread Count White FullQueen</t>
  </si>
  <si>
    <t>100068875FQ</t>
  </si>
  <si>
    <t>CC MOD BEDDNG</t>
  </si>
  <si>
    <t>CHARTER CLUB-EDI/RWI/VTX</t>
  </si>
  <si>
    <t>732997493113</t>
  </si>
  <si>
    <t>Charter Club Damask Thin Stripe Cotton 550- White FullQueen</t>
  </si>
  <si>
    <t>100051414FQ</t>
  </si>
  <si>
    <t>FABRIC: 100% COTTON THREAD COUNT: 550</t>
  </si>
  <si>
    <t>635983500836</t>
  </si>
  <si>
    <t>Ella Jayne Plush Allergy Resistant Medium White Standard</t>
  </si>
  <si>
    <t>BMI10656L4S</t>
  </si>
  <si>
    <t>SINGLE</t>
  </si>
  <si>
    <t>PILLWS&amp;PADS</t>
  </si>
  <si>
    <t>ELLA JAYNE/PILLOW GUY INC</t>
  </si>
  <si>
    <t>SHELL: 220 THREAD COUNT POLYESTER MICROFIBER, FILL: 100% POLY FIBER DOWN ALTERNATIVE FIBER</t>
  </si>
  <si>
    <t>732998112266</t>
  </si>
  <si>
    <t>Hotel Collection Hotel Collection Classic 800 T White Queen</t>
  </si>
  <si>
    <t>100067128QN</t>
  </si>
  <si>
    <t>QUEEN FLAT</t>
  </si>
  <si>
    <t>100% EGYPTIAN COTTON</t>
  </si>
  <si>
    <t>642472101122</t>
  </si>
  <si>
    <t>Exclusive Home Exclusive Home Fetter Wrap Aro Gold 36-72in</t>
  </si>
  <si>
    <t>ER10283672</t>
  </si>
  <si>
    <t>EXCLUSIVE HOME/AMALGAMATED TEXTILES</t>
  </si>
  <si>
    <t>IRON</t>
  </si>
  <si>
    <t>86569099112</t>
  </si>
  <si>
    <t>Madison Park Liquid Cotton King Blanket Lilac King</t>
  </si>
  <si>
    <t>MP51N-6027</t>
  </si>
  <si>
    <t>100% COTTON</t>
  </si>
  <si>
    <t>635983502342</t>
  </si>
  <si>
    <t>Ella Jayne Soft Allergy, Dust Mite and Be White Standard</t>
  </si>
  <si>
    <t>BMI10688L2S</t>
  </si>
  <si>
    <t>SHELL, MICRONONE, POLYESTER FIBER, NYLON. CORD: GRAY SATIN, FILL: GEL AND POLYESTER FIBER</t>
  </si>
  <si>
    <t>191790024342</t>
  </si>
  <si>
    <t>Fairfield Square Collection Brookline 1400-Thread Count 6- White Queen</t>
  </si>
  <si>
    <t>23302103001AQT</t>
  </si>
  <si>
    <t>AQ TEXTILES</t>
  </si>
  <si>
    <t>635983500317</t>
  </si>
  <si>
    <t>Ella Jayne Overstuffed Plush Allergy Resi White Standard</t>
  </si>
  <si>
    <t>BMI10324L2S</t>
  </si>
  <si>
    <t>SHELL: 220 THREAD COUNT POLYESTER MICROFIBER, FILL: 100% POLY FIBER FINE GEL FIBERS</t>
  </si>
  <si>
    <t>735732103872</t>
  </si>
  <si>
    <t>VCNY Home Carmen 3-Pc. Ruched King Duvet Burgundy King</t>
  </si>
  <si>
    <t>CMN-3DV-KING-OV-BURG</t>
  </si>
  <si>
    <t>TEXTILES-EUROPE INC</t>
  </si>
  <si>
    <t>735732886935</t>
  </si>
  <si>
    <t>VCNY Home Carmen 3-Pc. Ruched King Duvet White King</t>
  </si>
  <si>
    <t>CMN-3DV-KING-OV-WHIT</t>
  </si>
  <si>
    <t>846225017764</t>
  </si>
  <si>
    <t>Manor Luxe Manor Luxe Classic Jute Solid Pumpkin 20 x 20</t>
  </si>
  <si>
    <t>ML1113082020PUMPKIN</t>
  </si>
  <si>
    <t>BRGHTORANG</t>
  </si>
  <si>
    <t>LINEN, COTTON, FILL- FEATHER AND DOWN</t>
  </si>
  <si>
    <t>10482365603</t>
  </si>
  <si>
    <t>EdieHome Butterfly Decorative Throw Pil Dark Green ONE SIZE</t>
  </si>
  <si>
    <t>EAH087FR654447</t>
  </si>
  <si>
    <t>EDIE@HOME/LEVINSOHN TEXTILE CO INC</t>
  </si>
  <si>
    <t>POLYESTER WITH FEATHER FILL</t>
  </si>
  <si>
    <t>846339071973</t>
  </si>
  <si>
    <t>J Queen New York La Scala 20 Square Decorative Gold</t>
  </si>
  <si>
    <t>214103020SQ</t>
  </si>
  <si>
    <t>TRAD TXTL COL</t>
  </si>
  <si>
    <t>J QUEEN NEW YORK INC</t>
  </si>
  <si>
    <t>96675700819</t>
  </si>
  <si>
    <t>SensorGel Cool Coat Arctic Gusset Gel In White Standard</t>
  </si>
  <si>
    <t>SOFT-TEX MFG CO/SOFT-TEX INT'L INC</t>
  </si>
  <si>
    <t>POLYETHYLENE/POLYESTER</t>
  </si>
  <si>
    <t>800298710267</t>
  </si>
  <si>
    <t>DKNY DKNY Textured Stripe Decorativ White European</t>
  </si>
  <si>
    <t>X2OD130009PLG</t>
  </si>
  <si>
    <t>DONNA KARAN HOME/CHF INDUSTRIES</t>
  </si>
  <si>
    <t>FACE: 66% POLYESTER/34% COTTON; REVERSE: 100% COTTON; FILL: POLYESTER</t>
  </si>
  <si>
    <t>706257404652</t>
  </si>
  <si>
    <t>Hotel Collection Cotton 680 Thread Count Queen Palladium Queen</t>
  </si>
  <si>
    <t>68P20QNFT</t>
  </si>
  <si>
    <t>QNBOTTOMFT</t>
  </si>
  <si>
    <t>100% SUPIMA COTTON</t>
  </si>
  <si>
    <t>672225322597</t>
  </si>
  <si>
    <t>Luxlen Luxlen Microfiber Reversible B Purple Twin</t>
  </si>
  <si>
    <t>BLANKET-MF-K</t>
  </si>
  <si>
    <t>PURPLE</t>
  </si>
  <si>
    <t>LUXLEN LLC</t>
  </si>
  <si>
    <t>MICROFIBER, POLYESTER</t>
  </si>
  <si>
    <t>842933165193</t>
  </si>
  <si>
    <t>ienjoy Home Lucid Dreams Patterned Duvet C Blue Starlight KingCalifornia King</t>
  </si>
  <si>
    <t>DUVSTLKIENJ</t>
  </si>
  <si>
    <t>IENJOY HOME/IENJOY LLC</t>
  </si>
  <si>
    <t>MICROFIBER/POLYESTER</t>
  </si>
  <si>
    <t>816651021871</t>
  </si>
  <si>
    <t>ienjoy Home Elegant Designs Patterned Duve Grey Thatch KingCalifornia King</t>
  </si>
  <si>
    <t>DUVTHATKIENJ</t>
  </si>
  <si>
    <t>MICROFIBER</t>
  </si>
  <si>
    <t>883893690295</t>
  </si>
  <si>
    <t>Tommy Bahama Tommy Bahama Island Stripe Sho Blue No Size</t>
  </si>
  <si>
    <t>USHS6A1167539</t>
  </si>
  <si>
    <t>BATH RUGS/ACC</t>
  </si>
  <si>
    <t>REVMAN INTERNATIONAL INC</t>
  </si>
  <si>
    <t>642472100231</t>
  </si>
  <si>
    <t>Exclusive Home Exclusive Home Duke 1 Curtain Grey 66-120in</t>
  </si>
  <si>
    <t>ER102166120</t>
  </si>
  <si>
    <t>IRON, RESIN</t>
  </si>
  <si>
    <t>732997143148</t>
  </si>
  <si>
    <t>Hotel Collection CLOSEOUT Hotel Collection Dec Gold Queen</t>
  </si>
  <si>
    <t>100073398QN</t>
  </si>
  <si>
    <t>HOTEL BY CC-EDI/RWI/SARITA HANDA</t>
  </si>
  <si>
    <t>FRONT: COTTON/POLYESTER; BACK: COTTON; EMBROIDERY: POLYESTER/METALLIC</t>
  </si>
  <si>
    <t>26865995435</t>
  </si>
  <si>
    <t>Elrene Cordelia Adjustable 48-86 Cu Pewter 48-86in</t>
  </si>
  <si>
    <t>24282APW</t>
  </si>
  <si>
    <t>ELRENE HOME FASHIONS</t>
  </si>
  <si>
    <t>POLYRESIN, METAL</t>
  </si>
  <si>
    <t>800298596861</t>
  </si>
  <si>
    <t>DKNY Refresh Embroidered 12 x 16 White</t>
  </si>
  <si>
    <t>RFD001009PLE</t>
  </si>
  <si>
    <t>191790040892</t>
  </si>
  <si>
    <t>AQ Textiles Camden Sateen 1250-Thread Coun Gray Full</t>
  </si>
  <si>
    <t>25542102427AQT</t>
  </si>
  <si>
    <t>814760022550</t>
  </si>
  <si>
    <t>ienjoy Home Style Simplified by The Home C Purple Queen</t>
  </si>
  <si>
    <t>4PSLDQIENJ</t>
  </si>
  <si>
    <t>MICROFIBER POLYESTER</t>
  </si>
  <si>
    <t>709271491660</t>
  </si>
  <si>
    <t>Calvin Klein Henley King sham Aqua King Pillowcases</t>
  </si>
  <si>
    <t>1110237-KG-A1-D6</t>
  </si>
  <si>
    <t>CALVIN KLEIN HOME/HIMATSINGKA AMER</t>
  </si>
  <si>
    <t>840444148902</t>
  </si>
  <si>
    <t>Chic Home Chic Home Alba 1-Pc. 50 x 60 T Beige 50x60</t>
  </si>
  <si>
    <t>TB4890-MC</t>
  </si>
  <si>
    <t>BGEOVERFLW</t>
  </si>
  <si>
    <t>VALA78X7</t>
  </si>
  <si>
    <t>CHIC HOME DESIGN LLC</t>
  </si>
  <si>
    <t>FABRIC: 100% COTTONFILL: 100% POLYESTER</t>
  </si>
  <si>
    <t>810001367893</t>
  </si>
  <si>
    <t>Southshore Fine Linens Southshore Fine Linens Classy Sky Blue Queen</t>
  </si>
  <si>
    <t>VIL-PLT-BLU-Q</t>
  </si>
  <si>
    <t>QNJUMBOFIT</t>
  </si>
  <si>
    <t>SOUTHSHORE FINE LIN/BARGAIN ONLINE</t>
  </si>
  <si>
    <t>86569041173</t>
  </si>
  <si>
    <t>Intelligent Design Intelligent Design Metallic Do Whitegold Queen</t>
  </si>
  <si>
    <t>ID20-1472</t>
  </si>
  <si>
    <t>PREMIER COMFORT/E &amp; E CO LTD</t>
  </si>
  <si>
    <t>85GSM POLYESTER MICROFIBER</t>
  </si>
  <si>
    <t>636189944615</t>
  </si>
  <si>
    <t>Hotel Collection Turkish 33 x 70 Bath Sheet English Cream Bath Sheets</t>
  </si>
  <si>
    <t>HTLTURSEGC</t>
  </si>
  <si>
    <t>KG/BATHSHT</t>
  </si>
  <si>
    <t>PB TOWELS</t>
  </si>
  <si>
    <t>MMG-HOTEL BY CC</t>
  </si>
  <si>
    <t>TURKISH COTTON</t>
  </si>
  <si>
    <t>766380628172</t>
  </si>
  <si>
    <t>Hotel Collection Turkish 33 x 70 Bath Sheet Vapor Bath Sheets</t>
  </si>
  <si>
    <t>HTLTURSVAP</t>
  </si>
  <si>
    <t>LT/PASBLUE</t>
  </si>
  <si>
    <t>636047383129</t>
  </si>
  <si>
    <t>Greenland Home Fashions Sasha Bed Skirt 15 Queen White Queen</t>
  </si>
  <si>
    <t>GL-1710FBKQ</t>
  </si>
  <si>
    <t>GREENLAND HOME FASHIONS</t>
  </si>
  <si>
    <t>100% POLYESTER DROP, 100% POLYESTER PLATFORM</t>
  </si>
  <si>
    <t>883893482357</t>
  </si>
  <si>
    <t>Laura Ashley Laura Ashley Annabella White S White 18 inches</t>
  </si>
  <si>
    <t>12 SGL</t>
  </si>
  <si>
    <t>LAURA ASHLEY/REVMAN INTERNATIONAL</t>
  </si>
  <si>
    <t>885308430441</t>
  </si>
  <si>
    <t>Eclipse Round Round Thermaweave Grey 52x84</t>
  </si>
  <si>
    <t>11049052084GRE</t>
  </si>
  <si>
    <t>KEECO LLC/GRASSI ASSOCIATES INC</t>
  </si>
  <si>
    <t>100% POLYESTER</t>
  </si>
  <si>
    <t>734737473256</t>
  </si>
  <si>
    <t>Lacoste Legend 35 x 70 Supima Cotton Sand Bath Sheets</t>
  </si>
  <si>
    <t>T16825N623570</t>
  </si>
  <si>
    <t>TOWELS</t>
  </si>
  <si>
    <t>LACOSTE/SUNHAM HOME FASHIONS</t>
  </si>
  <si>
    <t>732995192292</t>
  </si>
  <si>
    <t>Charter Club Damask Solid Cotton 550-Thread White Full Fitted</t>
  </si>
  <si>
    <t>100056019FL</t>
  </si>
  <si>
    <t>RFBOTTOMFT</t>
  </si>
  <si>
    <t>10482920826</t>
  </si>
  <si>
    <t>Fresh Ideas Poplin Tailored Queen Bed Skir Black Queen</t>
  </si>
  <si>
    <t>FRE20114BLAC03</t>
  </si>
  <si>
    <t>LEVINSOHN TEXTILE CO INC</t>
  </si>
  <si>
    <t>BEDSKIRT: POLYESTER/COTTON; PLATFORM: POLYPROPYLENE</t>
  </si>
  <si>
    <t>766360449506</t>
  </si>
  <si>
    <t>Hotel Collection Turkish 30 x 56 Bath Towel Sandstone Bath Towels</t>
  </si>
  <si>
    <t>HTLTURBSAN</t>
  </si>
  <si>
    <t>BATH TOWEL</t>
  </si>
  <si>
    <t>766380628134</t>
  </si>
  <si>
    <t>Hotel Collection Turkish 30 x 56 Bath Towel Vapor Bath Towels</t>
  </si>
  <si>
    <t>HTLTURBVAP</t>
  </si>
  <si>
    <t>86569138064</t>
  </si>
  <si>
    <t>Intelligent Design Intelligent Design Emma 50 x Grey 50x60</t>
  </si>
  <si>
    <t>ID50-1605</t>
  </si>
  <si>
    <t>FACE: 100% POLYESTER BACK PRINT SHAGGY LONG FUR; REVERSE: 100% POLYESTER SOLID MINK</t>
  </si>
  <si>
    <t>86569904676</t>
  </si>
  <si>
    <t>Madison Park Elena 38 x 46 Faux-Silk Rod Champagne 38x46</t>
  </si>
  <si>
    <t>MP41-4952</t>
  </si>
  <si>
    <t>LT/PAS YEL</t>
  </si>
  <si>
    <t>FAUX-SILK FABRIC: POLYESTER</t>
  </si>
  <si>
    <t>86569916853</t>
  </si>
  <si>
    <t>Madison Park Aubrey 50 x 18 Beaded Jacqua Burgundy 50x18</t>
  </si>
  <si>
    <t>MP41-4991</t>
  </si>
  <si>
    <t>100% POLYESTER JACQUARD, LINING: 100% POLYESTER, TRIMS: GOLD BEADS</t>
  </si>
  <si>
    <t>42437002431</t>
  </si>
  <si>
    <t>Kenney Jillian 12 Window Curtain Ro Brown Marble 48-86in</t>
  </si>
  <si>
    <t>KN55181REM</t>
  </si>
  <si>
    <t>KENNEY MANUFACTURING COMPANY</t>
  </si>
  <si>
    <t>85214119410</t>
  </si>
  <si>
    <t>Cuddle Me Fox Plush Toy Tobey Orange</t>
  </si>
  <si>
    <t>ORANGE</t>
  </si>
  <si>
    <t>96675210004</t>
  </si>
  <si>
    <t>SensorPEDIC On-The-Go Gel-Infused Memory F White ONE SIZE</t>
  </si>
  <si>
    <t>FABRIC: POLYESTER; FILL: MEMORY FOAM</t>
  </si>
  <si>
    <t>636193831321</t>
  </si>
  <si>
    <t>Charter Club Damask Cotton 210-Thread Count Horizon European Sham</t>
  </si>
  <si>
    <t>DSKQLTCEUHZ</t>
  </si>
  <si>
    <t>FABRIC: COTTON; FILL: POLYESTER</t>
  </si>
  <si>
    <t>706254616553</t>
  </si>
  <si>
    <t>Hotel Collection Borderline 30 x 56 Bath Towe Midnight Bath Towels</t>
  </si>
  <si>
    <t>HTLBRDBMD</t>
  </si>
  <si>
    <t>706254616539</t>
  </si>
  <si>
    <t>Hotel Collection Borderline 30 x 56 Bath Towe Beige Bath Towels</t>
  </si>
  <si>
    <t>HTLBRDBOT</t>
  </si>
  <si>
    <t>706254462945</t>
  </si>
  <si>
    <t>Hotel Collection Ultimate MicroCotton 30 x 5 White Bath Towels</t>
  </si>
  <si>
    <t>HTLMCBWHT</t>
  </si>
  <si>
    <t>706258617624</t>
  </si>
  <si>
    <t>Martha Stewart Collection Essentials Waterproof Bed Bug White King</t>
  </si>
  <si>
    <t>100058085KG</t>
  </si>
  <si>
    <t>ESSENTIALS BY MARTHA/JLA HOME</t>
  </si>
  <si>
    <t>706258090229</t>
  </si>
  <si>
    <t>Charter Club Damask Supima Cotton 550-Threa White Standard Pillowcases</t>
  </si>
  <si>
    <t>DLLSLSPCWHT</t>
  </si>
  <si>
    <t>636193687706</t>
  </si>
  <si>
    <t>Martha Stewart Collection Spa Bath Towel Ocean Bath Towels</t>
  </si>
  <si>
    <t>MSPLSHBOCN</t>
  </si>
  <si>
    <t>MARTHA STEWART-EDI/RWI/WELSPUN</t>
  </si>
  <si>
    <t>706257490341</t>
  </si>
  <si>
    <t>Martha Stewart Collection Spa Bath Towel Mourning Dove Bath Towels</t>
  </si>
  <si>
    <t>MSPLSHBMDV</t>
  </si>
  <si>
    <t>DARK GRAY</t>
  </si>
  <si>
    <t>706254616584</t>
  </si>
  <si>
    <t>Hotel Collection Borderline 16 x 30 Hand Towe Green Hand Towels</t>
  </si>
  <si>
    <t>HTLBRDHCL</t>
  </si>
  <si>
    <t>HAND TOWEL</t>
  </si>
  <si>
    <t>706254463300</t>
  </si>
  <si>
    <t>Hotel Collection Ultimate MicroCotton 16 x 30 Jade Hand Towels</t>
  </si>
  <si>
    <t>HTLMCHJDE</t>
  </si>
  <si>
    <t>732998768203</t>
  </si>
  <si>
    <t>Home Design Hand Towel Blue Hand Towels</t>
  </si>
  <si>
    <t>HOME DESIGN STUDIO-EDI/WELSPUN</t>
  </si>
  <si>
    <t>400013532725</t>
  </si>
  <si>
    <t>883893690806</t>
  </si>
  <si>
    <t>Vera Wang Vera Wang Waffle Pique King Co Clear Blue King</t>
  </si>
  <si>
    <t>USHSA51168150</t>
  </si>
  <si>
    <t>42075511241</t>
  </si>
  <si>
    <t>Peri Home Chenille Lattice 3-Pc. King Co Grey King</t>
  </si>
  <si>
    <t>2-2113C4GY</t>
  </si>
  <si>
    <t>PERI HOME/CHF INDUSTRIES</t>
  </si>
  <si>
    <t>FABRIC: COTTON; POLYESTER COMFORTER FILL</t>
  </si>
  <si>
    <t>86569252289</t>
  </si>
  <si>
    <t>Madison Park Essentials Essentials Joella Queen 24-Pc. Blush Queen</t>
  </si>
  <si>
    <t>MPE10-809</t>
  </si>
  <si>
    <t>MED PINK</t>
  </si>
  <si>
    <t>COMFORTER/SHAM/BEDSKIRT/EUROPEAN SHAM/PILLOW COVER/WINDOW PANELS/TIEBACKS/WINDOW VALANCE: POLYESTER; SHEET SET: POLYESTER 85 GRAMS PER SQUARE METER; COMFORTER FILL: POLYESTER 270 GRAMS PER SQUARE METER; PILLOW: POLYESTER FILL</t>
  </si>
  <si>
    <t>657812140020</t>
  </si>
  <si>
    <t>Biddeford Microplush Reverse Sherpa Elec Taupe King</t>
  </si>
  <si>
    <t>2064-9052140-700</t>
  </si>
  <si>
    <t>MED BEIGE</t>
  </si>
  <si>
    <t>BIDDEFORD BLANKETS LLC</t>
  </si>
  <si>
    <t>86569401434</t>
  </si>
  <si>
    <t>Beautyrest Microlight Berber Full Electri Teal Full</t>
  </si>
  <si>
    <t>BR54-1937</t>
  </si>
  <si>
    <t>42075534103</t>
  </si>
  <si>
    <t>Michael Aram Michael Aram After The Storm 1 Gold ONE SIZE</t>
  </si>
  <si>
    <t>2-00860XGO</t>
  </si>
  <si>
    <t>MICHAEL ARAM/CHF INDUSTRIES INC</t>
  </si>
  <si>
    <t>FACE: 100% COTTON, REVERSE: 100% LINEN</t>
  </si>
  <si>
    <t>86569432407</t>
  </si>
  <si>
    <t>JLA Home Hudson 9-Pc. Queen Comforter S Greycharcoal Queen</t>
  </si>
  <si>
    <t>MCH10-2183</t>
  </si>
  <si>
    <t>706258089728</t>
  </si>
  <si>
    <t>Charter Club Damask Supima Cotton 550-Threa Smoke Grey King</t>
  </si>
  <si>
    <t>DLLSLKGSSMO</t>
  </si>
  <si>
    <t>SUPIMA COTTON</t>
  </si>
  <si>
    <t>706258089773</t>
  </si>
  <si>
    <t>Charter Club Damask Supima Cotton 550-Threa Parchment Beige King</t>
  </si>
  <si>
    <t>DLLSLKGSPAR</t>
  </si>
  <si>
    <t>679610822755</t>
  </si>
  <si>
    <t>Hallmart Collectibles Farrington 8-Pc. Reversible Ki Blush King</t>
  </si>
  <si>
    <t>HALLMART COLLECTIBLES INC</t>
  </si>
  <si>
    <t>679610813586</t>
  </si>
  <si>
    <t>Hallmart Collectibles Lillith 8-Pc. King Comforter a Lt Pink King</t>
  </si>
  <si>
    <t>FABRIC: POLYESTER (EXCLUSIVE OF DECORATION); POLYESTER FILL</t>
  </si>
  <si>
    <t>750105138671</t>
  </si>
  <si>
    <t>Charter Club Medium Firm King Down Pillow White King</t>
  </si>
  <si>
    <t>FEDP0850WK</t>
  </si>
  <si>
    <t>KING</t>
  </si>
  <si>
    <t>CHARTER CLUB-EDI/DOWNLITE INT'L</t>
  </si>
  <si>
    <t>MADE IN USA OF IMPORTED MATERIALS</t>
  </si>
  <si>
    <t>REMOVABLE COVER: 100% COTTON</t>
  </si>
  <si>
    <t>706258050827</t>
  </si>
  <si>
    <t>Charter Club Damask Stripe Supima Cotton 55 Vapor Light Blue Queen</t>
  </si>
  <si>
    <t>DLLSTQNSVAP</t>
  </si>
  <si>
    <t>811098030264</t>
  </si>
  <si>
    <t>Puredown Puredown Quilted Pillow Standa White StandardQueen</t>
  </si>
  <si>
    <t>PD 16020 S Q</t>
  </si>
  <si>
    <t>ST JAMES HOME INC</t>
  </si>
  <si>
    <t>SHELL - 100 % COTTON, STUFFING - 95% GOOSE FEATHER, 5% GOOSE DOWN</t>
  </si>
  <si>
    <t>48037211440</t>
  </si>
  <si>
    <t>RADIANCE Radiance 0.25 Pvc Cord Free R Tan 96 x 72</t>
  </si>
  <si>
    <t>RADIANCE/LEWIS HYMAN INC</t>
  </si>
  <si>
    <t>PVC</t>
  </si>
  <si>
    <t>628961002392</t>
  </si>
  <si>
    <t>Kensington Garden Dover King Cotton Rich Cool Co Blue King</t>
  </si>
  <si>
    <t>JET9822</t>
  </si>
  <si>
    <t>858352005538</t>
  </si>
  <si>
    <t>PharMeDoc Pharmedoc Pregnancy Pillow wit Grey</t>
  </si>
  <si>
    <t>PMD-C-BP-JC</t>
  </si>
  <si>
    <t>PHARMEDOC INC</t>
  </si>
  <si>
    <t>PILLOW FILLING - POLYFIL, COVER - JERSEY</t>
  </si>
  <si>
    <t>734737532731</t>
  </si>
  <si>
    <t>Fairfield Square Collection Paris Gold 8-Pc. Reversible Qu White King</t>
  </si>
  <si>
    <t>18393324NCPV</t>
  </si>
  <si>
    <t>SUNHAM CO USA</t>
  </si>
  <si>
    <t>FABRIC: POLYESTER; POLYESTER FILL</t>
  </si>
  <si>
    <t>675716361099</t>
  </si>
  <si>
    <t>JLA Home True North by Sleep Philosophy Aqua Full</t>
  </si>
  <si>
    <t>BL20-0602</t>
  </si>
  <si>
    <t>810006710779</t>
  </si>
  <si>
    <t>Enchante Home Enchante Home Vague 2-Pc. Bath Silver ONE SIZE</t>
  </si>
  <si>
    <t>VAGSLVR2BM</t>
  </si>
  <si>
    <t>ENCHANTE HOME/TURKO TEXTILE LLC</t>
  </si>
  <si>
    <t>842933164806</t>
  </si>
  <si>
    <t>ienjoy Home Lucid Dreams Patterned Duvet C Grey Chevron KingCalifornia King</t>
  </si>
  <si>
    <t>DUVACHKIENJ</t>
  </si>
  <si>
    <t>734737485648</t>
  </si>
  <si>
    <t>Fairfield Square Collection Austin 8-Pc. Reversible Comfor Blue Full</t>
  </si>
  <si>
    <t>1575C129V</t>
  </si>
  <si>
    <t>732996468792</t>
  </si>
  <si>
    <t>Hotel Collection Classic Scroll Applique Cotto White European Sham</t>
  </si>
  <si>
    <t>100061810ER</t>
  </si>
  <si>
    <t>HOTEL BY C CLUB-EDI/RWI/FA</t>
  </si>
  <si>
    <t>191790041066</t>
  </si>
  <si>
    <t>AQ Textiles Camden 1250 thread count 4 pc Navy Queen</t>
  </si>
  <si>
    <t>25542103101AQT</t>
  </si>
  <si>
    <t>693614011618</t>
  </si>
  <si>
    <t>Ella Jayne Classic Quilted Mattress Prote White California King</t>
  </si>
  <si>
    <t>EJHMPCQ5</t>
  </si>
  <si>
    <t>CALKMATTRE</t>
  </si>
  <si>
    <t>26865919615</t>
  </si>
  <si>
    <t>Elrene Elrene Antonia 52 x 84 Black Taupe 52x84</t>
  </si>
  <si>
    <t>20860TAU</t>
  </si>
  <si>
    <t>DARK BEIGE</t>
  </si>
  <si>
    <t>733001452010</t>
  </si>
  <si>
    <t>Martha Stewart Collection LAST ACT Christmas Tree Truck Red 14x20</t>
  </si>
  <si>
    <t>RED</t>
  </si>
  <si>
    <t>DEC PIL/THRWS</t>
  </si>
  <si>
    <t>MARTHA STEWART-MMG/MSLO-THROWS</t>
  </si>
  <si>
    <t>636193166171</t>
  </si>
  <si>
    <t>Martha Stewart Collection Cotton Terry Bath Robe White ONE SIZE</t>
  </si>
  <si>
    <t>MARTHA STEWART-EDI/TRIDENT</t>
  </si>
  <si>
    <t>655385221627</t>
  </si>
  <si>
    <t>Elite Home King Microfiber Solid Sheet Se Navy King</t>
  </si>
  <si>
    <t>MICSSKG410MFBSS</t>
  </si>
  <si>
    <t>ELITE HOME PRODUCTS INC</t>
  </si>
  <si>
    <t>675716577117</t>
  </si>
  <si>
    <t>Madison Park Madison Park Essentials Knowle Grey 72X72</t>
  </si>
  <si>
    <t>MPE70-038</t>
  </si>
  <si>
    <t>190714398897</t>
  </si>
  <si>
    <t>Lacourte 20 x 20 Reindeer Plaid Decor Multi 18x18</t>
  </si>
  <si>
    <t>1129373MULTI20X20</t>
  </si>
  <si>
    <t>ENVOGUE INTERNATIONAL LLC</t>
  </si>
  <si>
    <t>885308387073</t>
  </si>
  <si>
    <t>Waverly Waverly Floral Engagement Sati Porcelain 12x18</t>
  </si>
  <si>
    <t>15209012X018POR</t>
  </si>
  <si>
    <t>12X18</t>
  </si>
  <si>
    <t>706254554169</t>
  </si>
  <si>
    <t>Charter Club Sleep Luxe Dobby Dot Cotton 70 Ice Mocha Dobby Dot Standard Pillowcases</t>
  </si>
  <si>
    <t>100048248SP</t>
  </si>
  <si>
    <t>CHARTER CLUB-EDI/BIRLA CENTURY</t>
  </si>
  <si>
    <t>791551752516</t>
  </si>
  <si>
    <t>Berkshire Berkshire Classic Velvety Plus Chateau Grey FullQueen</t>
  </si>
  <si>
    <t>13841-FQ-64K</t>
  </si>
  <si>
    <t>BERKSHIRE BLANKET</t>
  </si>
  <si>
    <t>726895578423</t>
  </si>
  <si>
    <t>Martha Stewart Collection Solid Open Stock 400-Thread Co Carnation Pink Twin Fitted</t>
  </si>
  <si>
    <t>10021050TW</t>
  </si>
  <si>
    <t>RTBOTTOMFT</t>
  </si>
  <si>
    <t>MS COL SHEETS</t>
  </si>
  <si>
    <t>MARTHA STEWART-EDI/RWI/NAISHAT</t>
  </si>
  <si>
    <t>812091033351</t>
  </si>
  <si>
    <t>Muk Luks Muk Luks Super Soft Teddy Sher Blue Child</t>
  </si>
  <si>
    <t>MLBLBS</t>
  </si>
  <si>
    <t>TADPOLE HOME/SLEEPING PARTNER INTL</t>
  </si>
  <si>
    <t>46249646883</t>
  </si>
  <si>
    <t>Tommy Hilfiger Modern American 30 x 54 Cott Navy Bath Towels</t>
  </si>
  <si>
    <t>27T0465-BT-P1-D1</t>
  </si>
  <si>
    <t>TOMMY HILFIGER/HIMATSINGKA AMERICA</t>
  </si>
  <si>
    <t>706257490365</t>
  </si>
  <si>
    <t>Martha Stewart Collection Spa Bath Towel Meringue Bath Towels</t>
  </si>
  <si>
    <t>MSPLSHBMRG</t>
  </si>
  <si>
    <t>46249646890</t>
  </si>
  <si>
    <t>Tommy Hilfiger Modern American 16 x 26 Cott Navy Hand Towels</t>
  </si>
  <si>
    <t>27T0465-HD-P1-D1</t>
  </si>
  <si>
    <t>706257490501</t>
  </si>
  <si>
    <t>Martha Stewart Collection Spa Hand Towel Meringue Hand Towels</t>
  </si>
  <si>
    <t>MSPLSHHMRG</t>
  </si>
  <si>
    <t>706257490976</t>
  </si>
  <si>
    <t>Martha Stewart Collection Spa Washcloth Mourning Dove Washcloths</t>
  </si>
  <si>
    <t>MSPLSHWMDV</t>
  </si>
  <si>
    <t>WASH CLOTH</t>
  </si>
  <si>
    <t>706257491003</t>
  </si>
  <si>
    <t>Martha Stewart Collection Spa Washcloth Meringue Washcloths</t>
  </si>
  <si>
    <t>MSPLSHWMRG</t>
  </si>
  <si>
    <t>688614000557</t>
  </si>
  <si>
    <t>DRAFT - Tribeca Living 170-Gsm Red</t>
  </si>
  <si>
    <t>FL170EDSIKIFIDR</t>
  </si>
  <si>
    <t>TRIBECA LIVING/MARWAH CORPORATION</t>
  </si>
  <si>
    <t>850004347188</t>
  </si>
  <si>
    <t>Coravin CLOSEOUT Coravin Model Three</t>
  </si>
  <si>
    <t>CORAVIN INC</t>
  </si>
  <si>
    <t>671131065499</t>
  </si>
  <si>
    <t>Design Art Designart Modern and Contempor Silver</t>
  </si>
  <si>
    <t>CLM7714-3P</t>
  </si>
  <si>
    <t>78737988731</t>
  </si>
  <si>
    <t>Oneida Michelangelo 20-Piece Flatware</t>
  </si>
  <si>
    <t>2765020B</t>
  </si>
  <si>
    <t>20PCSERV4</t>
  </si>
  <si>
    <t>27979023922</t>
  </si>
  <si>
    <t>Chicago Cutlery Insignia 18-Pc. Cutlery Block Stainless Steel</t>
  </si>
  <si>
    <t>CUTLERY</t>
  </si>
  <si>
    <t>CHICAGO CUTLERY/CORELLE BRANDS</t>
  </si>
  <si>
    <t>STAINLESS STEEL KNIVES; WOOD BLOCK</t>
  </si>
  <si>
    <t>730384890606</t>
  </si>
  <si>
    <t>Certified International Citron 16-Pc. Dinnerware Set Whitelight Blueyellow</t>
  </si>
  <si>
    <t>CERTIFIED INTERNATIONAL CORP</t>
  </si>
  <si>
    <t>37725591414</t>
  </si>
  <si>
    <t>Noritake x Black</t>
  </si>
  <si>
    <t>G007-12BP</t>
  </si>
  <si>
    <t>NORITAKE</t>
  </si>
  <si>
    <t>37725591544</t>
  </si>
  <si>
    <t>Noritake x Taupe</t>
  </si>
  <si>
    <t>G009-12BP</t>
  </si>
  <si>
    <t>787812001035</t>
  </si>
  <si>
    <t>Artifacts Trading Company Artifacts Rattan Ice Bucket wi Honey Brown No Size</t>
  </si>
  <si>
    <t>ATC-BS410-GROUP 2</t>
  </si>
  <si>
    <t>OLYMPIA INTERNATIONAL LLC</t>
  </si>
  <si>
    <t>RATTAN</t>
  </si>
  <si>
    <t>790824072054</t>
  </si>
  <si>
    <t>Michael Aram Picture Frame, Black Orchid Ea</t>
  </si>
  <si>
    <t>810882031142</t>
  </si>
  <si>
    <t>DISC MERRIAM WOOD 2 BOWL</t>
  </si>
  <si>
    <t>MT10337</t>
  </si>
  <si>
    <t>DARK BROWN</t>
  </si>
  <si>
    <t>BLM ONLY</t>
  </si>
  <si>
    <t>JULISKA/PENSHURST TRADING CRYSTAL</t>
  </si>
  <si>
    <t>ACACIA WOOD/NICKEL-PLATED STAINLESS STEEL</t>
  </si>
  <si>
    <t>78737218364</t>
  </si>
  <si>
    <t>Oneida Voss 50-Piece Flatware Set Silver</t>
  </si>
  <si>
    <t>B156050A</t>
  </si>
  <si>
    <t>50PCSERV8</t>
  </si>
  <si>
    <t>731742145048</t>
  </si>
  <si>
    <t>Infinity Instruments Infinity Instruments Round Wal Brown No Size</t>
  </si>
  <si>
    <t>INFINITY INSTRUMENTS LTD</t>
  </si>
  <si>
    <t>PLASTIC, METAL, GLASS</t>
  </si>
  <si>
    <t>85081471666</t>
  </si>
  <si>
    <t>Gibson Laurie Gates Parisian Grey 20-piece Dinnerw Grey</t>
  </si>
  <si>
    <t>4PLCSET20</t>
  </si>
  <si>
    <t>DURABLE CERAMIC STONEWARE</t>
  </si>
  <si>
    <t>813454016202</t>
  </si>
  <si>
    <t>Amanti Art The Kiss Le Baiser Il Bacci</t>
  </si>
  <si>
    <t>DSW169847</t>
  </si>
  <si>
    <t>AMANTI ART</t>
  </si>
  <si>
    <t>PAPER, ACRYLIC GEL, WOOD</t>
  </si>
  <si>
    <t>79363011459</t>
  </si>
  <si>
    <t>Oneida Oneida Icarus 50-Piece Set STAINLESS</t>
  </si>
  <si>
    <t>H004050A</t>
  </si>
  <si>
    <t>85081464101</t>
  </si>
  <si>
    <t>Gibson Gibson Elite Bloomington 16 Pi Blue NO SIZE</t>
  </si>
  <si>
    <t>ELAMA/MEGAGOODS INC</t>
  </si>
  <si>
    <t>850000543829</t>
  </si>
  <si>
    <t>Elama Elama Mocha 16 Piece Luxurious Pink NO SIZE</t>
  </si>
  <si>
    <t>EL-MOCHAMUAVE16</t>
  </si>
  <si>
    <t>194372000208</t>
  </si>
  <si>
    <t>Lenox None Turqaqua</t>
  </si>
  <si>
    <t>L890740</t>
  </si>
  <si>
    <t>28199923818</t>
  </si>
  <si>
    <t>Godinger Stainless Steel 9-Pc. Copper-T Copper</t>
  </si>
  <si>
    <t>882864816139</t>
  </si>
  <si>
    <t>Lenox Trianna 4-Pc. Place Setting wi Taupe</t>
  </si>
  <si>
    <t>L885161</t>
  </si>
  <si>
    <t>LT/PAS BWN</t>
  </si>
  <si>
    <t>752760310645</t>
  </si>
  <si>
    <t>Baum Baum Phara 16 Piece Dinnerware Blue</t>
  </si>
  <si>
    <t>PHAR16S</t>
  </si>
  <si>
    <t>BAUM/ESSEX MANUFACTURING INC</t>
  </si>
  <si>
    <t>5011583156706</t>
  </si>
  <si>
    <t>Graham Brown Crocodile Black Wallpaper Black</t>
  </si>
  <si>
    <t>32-659</t>
  </si>
  <si>
    <t>GRAHAM &amp; BROWN INC</t>
  </si>
  <si>
    <t>MADE IN ENGLAND</t>
  </si>
  <si>
    <t>740102264008</t>
  </si>
  <si>
    <t>Classic Touch Classic Touch 16 Oval Shaped Gold</t>
  </si>
  <si>
    <t>MT950G</t>
  </si>
  <si>
    <t>BEZRAT/CLASSIC TOUCH INC</t>
  </si>
  <si>
    <t>GLASS, STAINLESS STEEL</t>
  </si>
  <si>
    <t>840703103260</t>
  </si>
  <si>
    <t>Nearly Natural Rose Candelabrum Artificial Ar Multi No Size</t>
  </si>
  <si>
    <t>4685-AP</t>
  </si>
  <si>
    <t>NEARLY NATURAL</t>
  </si>
  <si>
    <t>PLASTIC/STYROFOAM/CERAMIC</t>
  </si>
  <si>
    <t>28225897472</t>
  </si>
  <si>
    <t>International Silver 67-Pc. Garland Frost Flatware Grey Group</t>
  </si>
  <si>
    <t>28225897489</t>
  </si>
  <si>
    <t>International Silver 67-Pc. Carleigh Flatware Hos Grey Group</t>
  </si>
  <si>
    <t>88235561336</t>
  </si>
  <si>
    <t>Jay Imports Bridgette Porcelain 16Pc Dinne White</t>
  </si>
  <si>
    <t>6829-16-RB</t>
  </si>
  <si>
    <t>882864581457</t>
  </si>
  <si>
    <t>Kate Spade All In Good Taste Tea Kettle NO COLOR</t>
  </si>
  <si>
    <t>L856751</t>
  </si>
  <si>
    <t>795785124057</t>
  </si>
  <si>
    <t>Thirstystone MarbleWood Serve Board w3-PC Medium Brown</t>
  </si>
  <si>
    <t>NM770-MCY</t>
  </si>
  <si>
    <t>MANGO WOOD, MARBLE, STAINLESS STEEL</t>
  </si>
  <si>
    <t>88235558176</t>
  </si>
  <si>
    <t>Jay Imports Monique 16PC Set White</t>
  </si>
  <si>
    <t>6830-16-RB</t>
  </si>
  <si>
    <t>680863880010</t>
  </si>
  <si>
    <t>New England Cutlery New England Cutlery 7 Piece Ti Open Misce</t>
  </si>
  <si>
    <t>NE8817</t>
  </si>
  <si>
    <t>CULINARY EDGE/F N T INC</t>
  </si>
  <si>
    <t>HIGH-CARBON STAINLESS STEEL</t>
  </si>
  <si>
    <t>47596044308</t>
  </si>
  <si>
    <t>Lenox Laurel Leaf Table Cloth, 70 Ivory</t>
  </si>
  <si>
    <t>39-30036IVY</t>
  </si>
  <si>
    <t>86569874931</t>
  </si>
  <si>
    <t>JLA Home Golden Harvest 3-Pc. Framed Ca Gold</t>
  </si>
  <si>
    <t>MP95C-0063</t>
  </si>
  <si>
    <t>MDF MEDIUM DENSITY FIBERBOARD/LINEN/POLYSTYRENE/FOIL</t>
  </si>
  <si>
    <t>85081395146</t>
  </si>
  <si>
    <t>Laurie Gates Home Palladine 16 Piece Dinner White</t>
  </si>
  <si>
    <t>810100463M</t>
  </si>
  <si>
    <t>GIBSON/MEGAGOODS INC</t>
  </si>
  <si>
    <t>752760316159</t>
  </si>
  <si>
    <t>Baum Baum Allure 16 Piece Dinnerwar Blue</t>
  </si>
  <si>
    <t>ALLU16B</t>
  </si>
  <si>
    <t>733001974154</t>
  </si>
  <si>
    <t>The Cellar Mixed Materials 4-Pc. Charcute</t>
  </si>
  <si>
    <t>882864842343</t>
  </si>
  <si>
    <t>Kate Spade kate spade new york Charles St Yellow No Size</t>
  </si>
  <si>
    <t>L888415</t>
  </si>
  <si>
    <t>YELLOW</t>
  </si>
  <si>
    <t>4X6 SINGLE</t>
  </si>
  <si>
    <t>METAL &amp; GLASS</t>
  </si>
  <si>
    <t>882864851932</t>
  </si>
  <si>
    <t>Lenox Lenox Textured Neutrals Large Pale Grey And White</t>
  </si>
  <si>
    <t>L889658</t>
  </si>
  <si>
    <t>24258528390</t>
  </si>
  <si>
    <t>Marquis by Waterford Marquis by Waterford Markham F</t>
  </si>
  <si>
    <t>CRYSTALLINE</t>
  </si>
  <si>
    <t>719978828188</t>
  </si>
  <si>
    <t>Thirstystone Copper Faceted Double Wall Ice Copper No Size</t>
  </si>
  <si>
    <t>9396IBTDS</t>
  </si>
  <si>
    <t>701587408608</t>
  </si>
  <si>
    <t>Marquis by Waterford Marquis by Waterford Moments R No Color No Size</t>
  </si>
  <si>
    <t>842896118915</t>
  </si>
  <si>
    <t>Zuo Green Stone Large Decorative B Green</t>
  </si>
  <si>
    <t>A10924</t>
  </si>
  <si>
    <t>STEEL WITH A GOLD-TONE FINISH; AGATE STONE</t>
  </si>
  <si>
    <t>714572206424</t>
  </si>
  <si>
    <t>Rolf Glass 12070168</t>
  </si>
  <si>
    <t>206424-S4</t>
  </si>
  <si>
    <t>GLASSAUTOMATIC, INC</t>
  </si>
  <si>
    <t>655644088336</t>
  </si>
  <si>
    <t>Picnic At Ascot Picnic at Ascot Sardo Natural Slate</t>
  </si>
  <si>
    <t>CB50-E</t>
  </si>
  <si>
    <t>PICNIC AT ASCOT</t>
  </si>
  <si>
    <t>SLATE, STAINLESS STEEL</t>
  </si>
  <si>
    <t>42648456962</t>
  </si>
  <si>
    <t>Fiesta Mulberry 4-Pc. Place Setting Mulberry</t>
  </si>
  <si>
    <t>BRIGHT PUR</t>
  </si>
  <si>
    <t>42648078317</t>
  </si>
  <si>
    <t>Fiesta 4-Piece Place Setting Turquoise</t>
  </si>
  <si>
    <t>850016090614</t>
  </si>
  <si>
    <t>MegaChef Megachef La Vague Flatware Set Black No Size</t>
  </si>
  <si>
    <t>MCFW-LAVAGUE</t>
  </si>
  <si>
    <t>MEGAGOODS INC</t>
  </si>
  <si>
    <t>715021869481</t>
  </si>
  <si>
    <t>Euro Ceramica Duomo Table Accessory Set Multicolor</t>
  </si>
  <si>
    <t>DUO-86320</t>
  </si>
  <si>
    <t>EURO CERAMICA INC</t>
  </si>
  <si>
    <t>840703125613</t>
  </si>
  <si>
    <t>Nearly Natural Green Hydrangea Silk Arrangeme Green No Size</t>
  </si>
  <si>
    <t>1373-GR</t>
  </si>
  <si>
    <t>795785872200</t>
  </si>
  <si>
    <t>Thirstystone Thirstystone Blue Ceramic Cani No Color No Size</t>
  </si>
  <si>
    <t>N2253</t>
  </si>
  <si>
    <t>CERAMIC, JUTE, SILICONE</t>
  </si>
  <si>
    <t>732998616894</t>
  </si>
  <si>
    <t>Martha Stewart Collection Clear Optic Coupe Glasses with Clear No Size</t>
  </si>
  <si>
    <t>SODA-LIME GLASSES</t>
  </si>
  <si>
    <t>757456082196</t>
  </si>
  <si>
    <t>La Crosse Technology La Crosse Clock 19.7 IndoorO Drk Brown</t>
  </si>
  <si>
    <t>WEATHER CHANEL/LA CROSSE TECHNOLOGY</t>
  </si>
  <si>
    <t>PLASTIC</t>
  </si>
  <si>
    <t>738215367761</t>
  </si>
  <si>
    <t>Design Imports Outdoor Table cloth 60 Round Red</t>
  </si>
  <si>
    <t>CAMZ36776</t>
  </si>
  <si>
    <t>54</t>
  </si>
  <si>
    <t>DESIGN IMPORTS</t>
  </si>
  <si>
    <t>740102266828</t>
  </si>
  <si>
    <t>Classic Touch Classic Touch Porcelain Leaf R Black No Size</t>
  </si>
  <si>
    <t>WPL560</t>
  </si>
  <si>
    <t>28199255803</t>
  </si>
  <si>
    <t>Godinger Dublin 5-Pc. Whiskey Set No Color</t>
  </si>
  <si>
    <t>706258120971</t>
  </si>
  <si>
    <t>Martha Stewart Collection Ice Bucket with Tongs Silver</t>
  </si>
  <si>
    <t>COREBUCKET</t>
  </si>
  <si>
    <t>732997254691</t>
  </si>
  <si>
    <t>Martha Stewart Collection Glass Platter No Color</t>
  </si>
  <si>
    <t>MARTHA STEWART</t>
  </si>
  <si>
    <t>PRESSED GLASS</t>
  </si>
  <si>
    <t>738215368966</t>
  </si>
  <si>
    <t>Design Imports Checkers Napkin, Set of 6 Yellow No Size</t>
  </si>
  <si>
    <t>CAMZ36896</t>
  </si>
  <si>
    <t>32622027073</t>
  </si>
  <si>
    <t>Luigi Bormioli Luigi Bormioli Talismano DOF 1</t>
  </si>
  <si>
    <t>LUIGI BORMIOLI CORP</t>
  </si>
  <si>
    <t>94000395341</t>
  </si>
  <si>
    <t>Danya B Danya B. Utility Column Spine Dark Brown</t>
  </si>
  <si>
    <t>QBA486</t>
  </si>
  <si>
    <t>DANYA B INC</t>
  </si>
  <si>
    <t>LAMINATED MDF</t>
  </si>
  <si>
    <t>811214020445</t>
  </si>
  <si>
    <t>Bloem Bloem Grecian 12 Urn Planter Black 12</t>
  </si>
  <si>
    <t>GU12-00</t>
  </si>
  <si>
    <t>BLOEM LLC</t>
  </si>
  <si>
    <t>882864484895</t>
  </si>
  <si>
    <t>kate spade new york kate spade new york Charlotte WhiteBlue</t>
  </si>
  <si>
    <t>L844080</t>
  </si>
  <si>
    <t>726895008012</t>
  </si>
  <si>
    <t>Hotel Collection Bubble Highball Glasses, Set o No Color</t>
  </si>
  <si>
    <t>HTLS4LGBUB</t>
  </si>
  <si>
    <t>882864848741</t>
  </si>
  <si>
    <t>Lenox Lenox Global Tapestry Garnet Garnet</t>
  </si>
  <si>
    <t>L889231</t>
  </si>
  <si>
    <t>88235340795</t>
  </si>
  <si>
    <t>American Atelier Jay Imports Silver Wood Textur No color</t>
  </si>
  <si>
    <t>CHARGER</t>
  </si>
  <si>
    <t>88235364807</t>
  </si>
  <si>
    <t>American Atelier Silver Charger Plate Silver</t>
  </si>
  <si>
    <t>738215363411</t>
  </si>
  <si>
    <t>Design Imports Design Imports Shamrock Woven Green 14</t>
  </si>
  <si>
    <t>CAMZ36341</t>
  </si>
  <si>
    <t>194372000659</t>
  </si>
  <si>
    <t>L890784</t>
  </si>
  <si>
    <t>39-30402PIS</t>
  </si>
  <si>
    <t>719978838774</t>
  </si>
  <si>
    <t>Thirstystone 20 OZ BLACK CLASSIC BARRELL BE Black</t>
  </si>
  <si>
    <t>E9386MBTS2BM</t>
  </si>
  <si>
    <t>883314578607</t>
  </si>
  <si>
    <t>Longchamp 4-Pc. Flute Set</t>
  </si>
  <si>
    <t>L8703</t>
  </si>
  <si>
    <t>LEAD FREE CRYSTAL GLASS PRODUCT</t>
  </si>
  <si>
    <t>749151700635</t>
  </si>
  <si>
    <t>Royal Worcester Poppy Field Fox Mug White</t>
  </si>
  <si>
    <t>28199256701</t>
  </si>
  <si>
    <t>Godinger Godinger Dublin Set of 4 Whisk Clear No Size</t>
  </si>
  <si>
    <t>NONLEADED CRYSTAL</t>
  </si>
  <si>
    <t>37725322506</t>
  </si>
  <si>
    <t>Noritake Noritake Colorwave Graphite Raspberry</t>
  </si>
  <si>
    <t>8045-484</t>
  </si>
  <si>
    <t>45987211445</t>
  </si>
  <si>
    <t>Philip Whitney Philip Whitney Plain Silver Fr Silver</t>
  </si>
  <si>
    <t>SILVERPLATE</t>
  </si>
  <si>
    <t>28199148563</t>
  </si>
  <si>
    <t>Godinger Godinger Diamante Voltive Hold Clear</t>
  </si>
  <si>
    <t>47596561201</t>
  </si>
  <si>
    <t>Lenox French Perle Collection Pistac Pistachio</t>
  </si>
  <si>
    <t>39-30365PIS</t>
  </si>
  <si>
    <t>47596561119</t>
  </si>
  <si>
    <t>39-30347PIS</t>
  </si>
  <si>
    <t>192897227643</t>
  </si>
  <si>
    <t>Nearly Natural Nearly Natural Sansevieria Art Green NO SIZE</t>
  </si>
  <si>
    <t>T1287</t>
  </si>
  <si>
    <t>615715311176</t>
  </si>
  <si>
    <t>Lorren Home Trends Lorren Home Trends 16 Piece St Merlot ONE SIZE</t>
  </si>
  <si>
    <t>LH525</t>
  </si>
  <si>
    <t>LORREN HOME TRENDS/LORENZO IMPORT</t>
  </si>
  <si>
    <t>25398215454</t>
  </si>
  <si>
    <t>Pfaltzgraff Abby White 16 Piece Dinnerware White</t>
  </si>
  <si>
    <t>694546681238</t>
  </si>
  <si>
    <t>Cathys Concepts Personalized Marble Acacia Che White S NO SIZE</t>
  </si>
  <si>
    <t>2484-S</t>
  </si>
  <si>
    <t>CATHYS CONCEPTS INC</t>
  </si>
  <si>
    <t>694546681047</t>
  </si>
  <si>
    <t>Cathys Concepts Personalized Marble Acacia Che White B NO SIZE</t>
  </si>
  <si>
    <t>2484-B</t>
  </si>
  <si>
    <t>694546681160</t>
  </si>
  <si>
    <t>Cathys Concepts Personalized Marble Acacia Che White L NO SIZE</t>
  </si>
  <si>
    <t>2484-L</t>
  </si>
  <si>
    <t>646292273786</t>
  </si>
  <si>
    <t>Fortessa Fortessa Jupiter Ice Beverage Clear No Size</t>
  </si>
  <si>
    <t>DV.JUPITERCL.03</t>
  </si>
  <si>
    <t>FORTESSA TABLEWARE SOLUTIONS LLC</t>
  </si>
  <si>
    <t>72456116857</t>
  </si>
  <si>
    <t>Design Imports Design Import Fringed Stripe T Teal No Size</t>
  </si>
  <si>
    <t>CAMZ11685</t>
  </si>
  <si>
    <t>194590039370</t>
  </si>
  <si>
    <t>Elrene Spring Hydrangea Cutwork Allov Multi</t>
  </si>
  <si>
    <t>751148078993</t>
  </si>
  <si>
    <t>Lawrence Frames Polished Metal Picture Frame - Gold-Tone NO SIZE</t>
  </si>
  <si>
    <t>LAWRENCE FRAMES/FRED M LAWRENCE CO</t>
  </si>
  <si>
    <t>732998309857</t>
  </si>
  <si>
    <t>Hotel Collection 680 Thread-Count King Duvet Co Palladium King</t>
  </si>
  <si>
    <t>100067900KG</t>
  </si>
  <si>
    <t>KGCOMFORTE</t>
  </si>
  <si>
    <t>COTTON; FILL: POLYESTER</t>
  </si>
  <si>
    <t>734737671867</t>
  </si>
  <si>
    <t>Sunham Hilton 14-Pc. Damask-Print Que Red Queen</t>
  </si>
  <si>
    <t>883893435575</t>
  </si>
  <si>
    <t>City Scene Ceres FullQueen Comforter Set Pastel Green FullQueen</t>
  </si>
  <si>
    <t>CITY SCENE/REVMAN INTERNATIONAL INC</t>
  </si>
  <si>
    <t>COTTON, POLYESTER FILL</t>
  </si>
  <si>
    <t>732995871081</t>
  </si>
  <si>
    <t>Hotel Collection 680 Thread-Count Queen Duvet C Palladium FullQueen</t>
  </si>
  <si>
    <t>100051657FQ</t>
  </si>
  <si>
    <t>675716583965</t>
  </si>
  <si>
    <t>Madison Park Essentials Avalon 9-Pc. Queen Grey Queen</t>
  </si>
  <si>
    <t>MPE10-042</t>
  </si>
  <si>
    <t>COMFORTER/SHAM/BEDSKIRT: POLYESTER 85 GRAMS PER SQUARE METER; PILLOW: POLYESTER; SHEETS: COTTON; THREAD COUNT: 180; COMFORTER FILL: POLYESTER 250 GRAMS PER SQUARE METER; PILLOW FILL: POLYESTER</t>
  </si>
  <si>
    <t>706258051428</t>
  </si>
  <si>
    <t>Charter Club Damask Cotton 210-Thread Count Parchment King</t>
  </si>
  <si>
    <t>DSKQLTCKGPA</t>
  </si>
  <si>
    <t>706258051411</t>
  </si>
  <si>
    <t>Charter Club Damask Cotton 210-Thread Count White King</t>
  </si>
  <si>
    <t>DSKQLTCKGWH</t>
  </si>
  <si>
    <t>96675608962</t>
  </si>
  <si>
    <t>EcoPEDIC EcoPEDIC 2.5 MemoryLOFT Queen White Queen</t>
  </si>
  <si>
    <t>COVER: 233 THREAD COUNT 100% COTTON; FILL: POLYESTER/MEMORY FOAM CLUSTERS</t>
  </si>
  <si>
    <t>841230018072</t>
  </si>
  <si>
    <t>Tempur-Pedic Adaptive Comfort Memory Foam P White Standard</t>
  </si>
  <si>
    <t>QUEEN</t>
  </si>
  <si>
    <t>TEMPUR-PEDIC NORTH AMERICA INC</t>
  </si>
  <si>
    <t>MADE IN USA AND IMPORTED</t>
  </si>
  <si>
    <t>COVER TOP: POLYESTER/POLYPROPYLENE; FILL: VISCOELASTIC POLYURETHANE FOAM</t>
  </si>
  <si>
    <t>706258089063</t>
  </si>
  <si>
    <t>Charter Club Damask Stripe Supima Cotton 55 Granite Dark Grey King</t>
  </si>
  <si>
    <t>DLDSTKGSGRA</t>
  </si>
  <si>
    <t>734737637320</t>
  </si>
  <si>
    <t>Sunham June chrcoal CALK CS Charcoal California King</t>
  </si>
  <si>
    <t>45516138601</t>
  </si>
  <si>
    <t>Leachco Leachco Snoogle Chic Jersey Ma Heath Gray</t>
  </si>
  <si>
    <t>LEACHCO INC</t>
  </si>
  <si>
    <t>POLYESTER, COTTON</t>
  </si>
  <si>
    <t>733001495314</t>
  </si>
  <si>
    <t>Martha Stewart Collection Reversible 3-Pc. Cheetah-Print Grey FullQueen</t>
  </si>
  <si>
    <t>100100702FQ</t>
  </si>
  <si>
    <t>MRTH STWRT WH</t>
  </si>
  <si>
    <t>MMG-MARTHA STEWART/YUNUS</t>
  </si>
  <si>
    <t>810026171048</t>
  </si>
  <si>
    <t>Cheer Collection Hypoallergenic Luxury Mattress White Full</t>
  </si>
  <si>
    <t>CC-ADMTLX-FL</t>
  </si>
  <si>
    <t>CHEER COLLECTION/DIGITALPRINTS USA</t>
  </si>
  <si>
    <t>726895969887</t>
  </si>
  <si>
    <t>Hotel Collection Madison European Sham Oatmeal European Sham</t>
  </si>
  <si>
    <t>100023632ER</t>
  </si>
  <si>
    <t>LINEN; EMBROIDERY: COTTON</t>
  </si>
  <si>
    <t>843145100422</t>
  </si>
  <si>
    <t>Chic Home Chic Home Weaverland 3 Piece Q Beige Queen</t>
  </si>
  <si>
    <t>BQS00422-MC</t>
  </si>
  <si>
    <t>FABRIC: POLYESTER MICROFIBER; FILL: POLYESTER</t>
  </si>
  <si>
    <t>193842117217</t>
  </si>
  <si>
    <t>J Queen New York Malita Tufted Round Decorative Powder Blue No Size</t>
  </si>
  <si>
    <t>2654123TUFRD</t>
  </si>
  <si>
    <t>13.5X13.5</t>
  </si>
  <si>
    <t>671826988935</t>
  </si>
  <si>
    <t>F. Scott Fitzgerald F Scott Fitzgerald Lumiere Fro White</t>
  </si>
  <si>
    <t>LUFR-P22</t>
  </si>
  <si>
    <t>22X22</t>
  </si>
  <si>
    <t>SISCOVERS/SIS ENTERPRISES INC</t>
  </si>
  <si>
    <t>726895696318</t>
  </si>
  <si>
    <t>Hotel Collection Linen King Sham Grey King Sham</t>
  </si>
  <si>
    <t>100024680KG</t>
  </si>
  <si>
    <t>IN LINEN, A LIGHTWEIGHT YEAR-ROUND FABRIC THAT GETS SOFTER WITH EVERY WASH</t>
  </si>
  <si>
    <t>96675200517</t>
  </si>
  <si>
    <t>SensorPEDIC SensorPEDIC 500TC Tencel Fiber White ONE SIZE</t>
  </si>
  <si>
    <t>COVER: 500 THREAD COUNT TENCEL; FILL: POLYESTER</t>
  </si>
  <si>
    <t>732999855162</t>
  </si>
  <si>
    <t>Charter Club Damask Designs Floral Blooms 3 Grey FullQueen</t>
  </si>
  <si>
    <t>100100265FQ</t>
  </si>
  <si>
    <t>MMG-CHARTER CLUB</t>
  </si>
  <si>
    <t>883893433243</t>
  </si>
  <si>
    <t>Nautica Baird Cotton FullQueen Blanke White FullQueen</t>
  </si>
  <si>
    <t>NAUTICA/REVMAN INTERNATIONAL</t>
  </si>
  <si>
    <t>42437007856</t>
  </si>
  <si>
    <t>Kenney Weaver 1 Outdoor Window Curta Black 36-72in</t>
  </si>
  <si>
    <t>KN90000REM</t>
  </si>
  <si>
    <t>191790022324</t>
  </si>
  <si>
    <t>AQ Textiles Optimum Performance 625-Thread Blue Queen</t>
  </si>
  <si>
    <t>23112103002AQT</t>
  </si>
  <si>
    <t>734737570733</t>
  </si>
  <si>
    <t>Fairfield Square Collection Amalanta Reversible 8-Pc. Quee Red Queen</t>
  </si>
  <si>
    <t>783048154255</t>
  </si>
  <si>
    <t>Pem America Santa Fe 8-Pc. Reversible Quee Multi Queen</t>
  </si>
  <si>
    <t>BIB4166QN-3240</t>
  </si>
  <si>
    <t>PEM AMERICA INC</t>
  </si>
  <si>
    <t>191790041974</t>
  </si>
  <si>
    <t>AQ Textiles T500 Woven Jacquard King Size White King</t>
  </si>
  <si>
    <t>19482104001AQT</t>
  </si>
  <si>
    <t>191790040922</t>
  </si>
  <si>
    <t>AQ Textiles Camden 1250 thread count 4 pc White Queen</t>
  </si>
  <si>
    <t>25542103001AQT</t>
  </si>
  <si>
    <t>191790041011</t>
  </si>
  <si>
    <t>AQ Textiles Camden 1250 thread count 4 pc Gray Queen</t>
  </si>
  <si>
    <t>25542103427AQT</t>
  </si>
  <si>
    <t>191790040946</t>
  </si>
  <si>
    <t>AQ Textiles Camden 1250 thread count 4 pc Ivory Queen</t>
  </si>
  <si>
    <t>25542103003AQT</t>
  </si>
  <si>
    <t>608381435192</t>
  </si>
  <si>
    <t>Hotel Collection Linen King Sham Dusty Rose King Sham</t>
  </si>
  <si>
    <t>100028121KG</t>
  </si>
  <si>
    <t>608381432580</t>
  </si>
  <si>
    <t>Hotel Collection Linen King Sham Blue King Sham</t>
  </si>
  <si>
    <t>819684500559</t>
  </si>
  <si>
    <t>CopperFresh Sleep Studio CopperFresh Wave Beige Full</t>
  </si>
  <si>
    <t>9991093FULL</t>
  </si>
  <si>
    <t>RFMATTRESS</t>
  </si>
  <si>
    <t>SLEEP STUDIO LLC</t>
  </si>
  <si>
    <t>POLYURETHANE</t>
  </si>
  <si>
    <t>628961001036</t>
  </si>
  <si>
    <t>Small World Home 16 x 24 Decorative Pillow Natural 16x24</t>
  </si>
  <si>
    <t>JET9428</t>
  </si>
  <si>
    <t>16X24</t>
  </si>
  <si>
    <t>96675639614</t>
  </si>
  <si>
    <t>SensorGel CoolFusion Firm Standard Pi White Standard</t>
  </si>
  <si>
    <t>COVER: 300 THREAD COUNT COTTON; FILL: POLYESTER/GEL BEADS</t>
  </si>
  <si>
    <t>706258051251</t>
  </si>
  <si>
    <t>Charter Club Damask Pima Cotton 550-Thread White Full</t>
  </si>
  <si>
    <t>DNSLDFLBWHT</t>
  </si>
  <si>
    <t>810026172779</t>
  </si>
  <si>
    <t>Cheer Collection Faux Fur 18 x 18 Throw Pillo Blue 18x18</t>
  </si>
  <si>
    <t>CC-FFPLW2PK-BLU</t>
  </si>
  <si>
    <t>DIGITALPRINTS USA CORP</t>
  </si>
  <si>
    <t>FAUX FUR</t>
  </si>
  <si>
    <t>810026172618</t>
  </si>
  <si>
    <t>Cheer Collection Faux Fur 12 x 20 Throw Pillo Grey 12x20</t>
  </si>
  <si>
    <t>CC-FFPL2PK-12X20-GRY</t>
  </si>
  <si>
    <t>732997233573</t>
  </si>
  <si>
    <t>Hotel Collection Hotel Collection Basic Grid Qu White Standard Sham</t>
  </si>
  <si>
    <t>100051723SD</t>
  </si>
  <si>
    <t>91116694498</t>
  </si>
  <si>
    <t>Jessica Sanders Solid Microfiber King Sheet Se Flint Grey King</t>
  </si>
  <si>
    <t>SM3SSK</t>
  </si>
  <si>
    <t>COZY HOME FASHION/SANDER SALES ENT</t>
  </si>
  <si>
    <t>706258090489</t>
  </si>
  <si>
    <t>Charter Club Damask Stripe Pima Cotton 300- Smoke Grey European Sham</t>
  </si>
  <si>
    <t>DLLSTEUHSMO</t>
  </si>
  <si>
    <t>29927489415</t>
  </si>
  <si>
    <t>No. 918 Alison Floral Lace 58 x 72 R Ivory 58x72</t>
  </si>
  <si>
    <t>S LICHTENBERG &amp; CO.</t>
  </si>
  <si>
    <t>706254463027</t>
  </si>
  <si>
    <t>Hotel Collection Ultimate MicroCotton 30 x 5 Oat Bath Towels</t>
  </si>
  <si>
    <t>HTLMCBOAT</t>
  </si>
  <si>
    <t>46249647699</t>
  </si>
  <si>
    <t>Tommy Hilfiger Modern American 30 x 54 Cott Mist Blue Bath Towels</t>
  </si>
  <si>
    <t>27T0465-BT-M1-D1</t>
  </si>
  <si>
    <t>848405050004</t>
  </si>
  <si>
    <t>Mainstream International Inc. Cotton Solid 27 x 52 Bath To White Bath Towels</t>
  </si>
  <si>
    <t>MACPRO214152</t>
  </si>
  <si>
    <t>MAINSTREAM INTERNATIONAL INC</t>
  </si>
  <si>
    <t>635983500997</t>
  </si>
  <si>
    <t>Ella Jayne 100 Certified RDS All Season White FullQueen</t>
  </si>
  <si>
    <t>BMI10579LQ</t>
  </si>
  <si>
    <t>DOWN COMFORTR</t>
  </si>
  <si>
    <t>SHELL: 100% COTTON</t>
  </si>
  <si>
    <t>883893628670</t>
  </si>
  <si>
    <t>Vera Wang Velvet Queen Quilt Graphite Queen</t>
  </si>
  <si>
    <t>USHSGR1125088</t>
  </si>
  <si>
    <t>732996468808</t>
  </si>
  <si>
    <t>Hotel Collection Classic Scroll Applique Cotto White FullQueen</t>
  </si>
  <si>
    <t>100070656FQ</t>
  </si>
  <si>
    <t>FABRIC: 100% COTTON</t>
  </si>
  <si>
    <t>883893657441</t>
  </si>
  <si>
    <t>Vera Wang Vera Wang Marbled Duvet Cover French Gray Queen</t>
  </si>
  <si>
    <t>USHSFM1146191</t>
  </si>
  <si>
    <t>190945049315</t>
  </si>
  <si>
    <t>Levtex Levtex Home Mariska King Quilt Teal King</t>
  </si>
  <si>
    <t>L10420KS</t>
  </si>
  <si>
    <t>LEVTEX BABY/LEVTEX LLC</t>
  </si>
  <si>
    <t>190945049537</t>
  </si>
  <si>
    <t>Levtex Levtex Home Cross Stitch Brigh White King</t>
  </si>
  <si>
    <t>L14860AKS</t>
  </si>
  <si>
    <t>883893610132</t>
  </si>
  <si>
    <t>Nautica Lansier Grey Comforter Sham Se Grey King Sham</t>
  </si>
  <si>
    <t>USHSA51111829</t>
  </si>
  <si>
    <t>883893696686</t>
  </si>
  <si>
    <t>Stone Cottage Stone Cottage Katherine King C Gray King</t>
  </si>
  <si>
    <t>USHSA51172494</t>
  </si>
  <si>
    <t>STONE COTTAGE/REVMAN INTERNATIONAL</t>
  </si>
  <si>
    <t>733002201822</t>
  </si>
  <si>
    <t>Martha Stewart Collection Painterly Flr 3Pc Quilt Set Kg Lightpastel Grey King</t>
  </si>
  <si>
    <t>100120187KG</t>
  </si>
  <si>
    <t>PB SEASON BED</t>
  </si>
  <si>
    <t>MARTHA STEWART-MMG/COLLECTION 43417</t>
  </si>
  <si>
    <t>706258090830</t>
  </si>
  <si>
    <t>Charter Club Damask Stripe Supima Cotton 55 Cotton Candy Light Pink King</t>
  </si>
  <si>
    <t>DLLSTKGSCTN</t>
  </si>
  <si>
    <t>728455169522</t>
  </si>
  <si>
    <t>CM SILV LOWELL</t>
  </si>
  <si>
    <t>M230SCASSI</t>
  </si>
  <si>
    <t>MATOUK/JOHN MATOUK AND CO INC</t>
  </si>
  <si>
    <t>MADE IN PHILIPPINES</t>
  </si>
  <si>
    <t>EGYPTIAN COTTON</t>
  </si>
  <si>
    <t>706257404416</t>
  </si>
  <si>
    <t>Hotel Collection Cotton 680 Thread Count Extra- White King</t>
  </si>
  <si>
    <t>68H29KXFT</t>
  </si>
  <si>
    <t>KGBOTTOMFT</t>
  </si>
  <si>
    <t>810030874133</t>
  </si>
  <si>
    <t>Country Living Country Living Solid Washed Qu Beige FullQueen</t>
  </si>
  <si>
    <t>CL633BG13</t>
  </si>
  <si>
    <t>NEW SEGA HOME TEXTILES</t>
  </si>
  <si>
    <t>734737422971</t>
  </si>
  <si>
    <t>Fairfield Square Collection Austin 8-Pc. Reversible Comfor Red California King</t>
  </si>
  <si>
    <t>15977429V</t>
  </si>
  <si>
    <t>734737422940</t>
  </si>
  <si>
    <t>Fairfield Square Collection Austin 8-Pc. Reversible Comfor Red Full</t>
  </si>
  <si>
    <t>15977129V</t>
  </si>
  <si>
    <t>783048128201</t>
  </si>
  <si>
    <t>Pem America Modern Stripe 8-Pc. California Multi California King</t>
  </si>
  <si>
    <t>BIB3607CK-3240</t>
  </si>
  <si>
    <t>190733169782</t>
  </si>
  <si>
    <t>Linum Home Linum Home Textiles Diamond Ch Soft Aqua ONE SIZE</t>
  </si>
  <si>
    <t>PDIA15-HRT</t>
  </si>
  <si>
    <t>BEACHTOWEL</t>
  </si>
  <si>
    <t>LINUM HOME TEXTILES LLC</t>
  </si>
  <si>
    <t>732997394267</t>
  </si>
  <si>
    <t>Hotel Collection Primaloft 450-Thread Count Sof White King</t>
  </si>
  <si>
    <t>100083176KG</t>
  </si>
  <si>
    <t>HOTEL BY CHARTER CLUB-EDI/DOWNLITE</t>
  </si>
  <si>
    <t>OUTER COVER: COTTON; INNER SHELL: COTTON; FILL: POLYESTER FIBERFILL</t>
  </si>
  <si>
    <t>609372915570</t>
  </si>
  <si>
    <t>SUPER LINE</t>
  </si>
  <si>
    <t>SL20025H</t>
  </si>
  <si>
    <t>HABIDECOR &amp; ABYSS INC</t>
  </si>
  <si>
    <t>MADE IN PORTUGAL</t>
  </si>
  <si>
    <t>GIZA 70 EGYPTIAN COTTON</t>
  </si>
  <si>
    <t>29927578294</t>
  </si>
  <si>
    <t>Sun Zero Oslo 52 x 108 Theater Grade Stone 52x108</t>
  </si>
  <si>
    <t>810031410484</t>
  </si>
  <si>
    <t>Battilo Battilo Home Cable Knit Woven Tan</t>
  </si>
  <si>
    <t>BTL15019-TAN</t>
  </si>
  <si>
    <t>HAPPYCARE TEXTILES INC</t>
  </si>
  <si>
    <t>100% ACRYLIC</t>
  </si>
  <si>
    <t>810031410439</t>
  </si>
  <si>
    <t>Battilo Battilo Home Cable Knit Woven Blue</t>
  </si>
  <si>
    <t>BTL15019-BLUE</t>
  </si>
  <si>
    <t>726895578225</t>
  </si>
  <si>
    <t>Martha Stewart Collection Solid Open Stock 400-Thread Co Latte Tan King Fitted</t>
  </si>
  <si>
    <t>10021050KG</t>
  </si>
  <si>
    <t>783048140166</t>
  </si>
  <si>
    <t>Pem America Monochromatic 3-Pc. Floral-Pri Black FullQueen</t>
  </si>
  <si>
    <t>CS3908FQ-1540</t>
  </si>
  <si>
    <t>10482003109</t>
  </si>
  <si>
    <t>Fresh Ideas Poplin Tailored Queen Bed Skir Ivory Queen</t>
  </si>
  <si>
    <t>FRE20114IVOR03</t>
  </si>
  <si>
    <t>843669106016</t>
  </si>
  <si>
    <t>Home Weavers Home Weavers Radiant 17 x 24 Natural 17 x 24</t>
  </si>
  <si>
    <t>BRA1724</t>
  </si>
  <si>
    <t>HOME WEAVERS INC</t>
  </si>
  <si>
    <t>732998000259</t>
  </si>
  <si>
    <t>Charter Club Continuous Comfort Soft King P White King</t>
  </si>
  <si>
    <t>100085911KG</t>
  </si>
  <si>
    <t>728455924466</t>
  </si>
  <si>
    <t>MILAGRO</t>
  </si>
  <si>
    <t>T320HTOWPL</t>
  </si>
  <si>
    <t>706258616399</t>
  </si>
  <si>
    <t>Martha Stewart Collection Essentials Twin Waterproof Mat White Twin</t>
  </si>
  <si>
    <t>100058084TW</t>
  </si>
  <si>
    <t>RTMATTRESS</t>
  </si>
  <si>
    <t>TOP: 300TC 100% COTTON; BACK: POLYURETHANE; SKIRT: POLYESTER</t>
  </si>
  <si>
    <t>25695990016</t>
  </si>
  <si>
    <t>STD CLSC PLW 2PK PRT</t>
  </si>
  <si>
    <t>HOLLANDER SLEEP PRODUCTS</t>
  </si>
  <si>
    <t>91116694405</t>
  </si>
  <si>
    <t>Jessica Sanders Solid Microfiber Full Sheet Se Ivory Full</t>
  </si>
  <si>
    <t>SM3SSF</t>
  </si>
  <si>
    <t>706254464031</t>
  </si>
  <si>
    <t>Hotel Collection Ultimate MicroCotton 26 x 34 Jade</t>
  </si>
  <si>
    <t>HTLMCTJDE</t>
  </si>
  <si>
    <t>TUB MAT</t>
  </si>
  <si>
    <t>732998216070</t>
  </si>
  <si>
    <t>Charter Club Damask Supima Cotton 550-Threa Neo Natural Standard Pillowcases</t>
  </si>
  <si>
    <t>DLLSLSPCNAT</t>
  </si>
  <si>
    <t>608356690670</t>
  </si>
  <si>
    <t>Charter Club Elite Hygro Cotton Bath Towel Desert Bath Towels</t>
  </si>
  <si>
    <t>CCELITEB</t>
  </si>
  <si>
    <t>608356690694</t>
  </si>
  <si>
    <t>Charter Club Elite Hygro Cotton Bath Towel Camel Bath Towels</t>
  </si>
  <si>
    <t>46249646647</t>
  </si>
  <si>
    <t>Tommy Hilfiger Modern American 30 x 54 Cott Red Bath Towels</t>
  </si>
  <si>
    <t>27T0465-BT-C1-D1</t>
  </si>
  <si>
    <t>BRIGHT RED</t>
  </si>
  <si>
    <t>810033092893</t>
  </si>
  <si>
    <t>Caro Home Isadora Cotton 30 x 54 Bath White Bath Towels</t>
  </si>
  <si>
    <t>BT1152T1100</t>
  </si>
  <si>
    <t>CARO HOME LLC</t>
  </si>
  <si>
    <t>706254463232</t>
  </si>
  <si>
    <t>Hotel Collection Ultimate MicroCotton 16 x 30 White Hand Towels</t>
  </si>
  <si>
    <t>HTLMCHWHT</t>
  </si>
  <si>
    <t>706254464901</t>
  </si>
  <si>
    <t>Hotel Collection Ultimate MicroCotton 13 x 13 Jade Washcloths</t>
  </si>
  <si>
    <t>HTLMCWJDE</t>
  </si>
  <si>
    <t>191790043886</t>
  </si>
  <si>
    <t>IVY T800 COT QN</t>
  </si>
  <si>
    <t>25892103003AQT</t>
  </si>
  <si>
    <t>846339076121</t>
  </si>
  <si>
    <t>J Queen New York J. Queen New York Provence K Stone King</t>
  </si>
  <si>
    <t>2186112KCS</t>
  </si>
  <si>
    <t>846339078804</t>
  </si>
  <si>
    <t>J Queen New York Crystal Palace French Blue Kin French Blue King</t>
  </si>
  <si>
    <t>2210120KCS</t>
  </si>
  <si>
    <t>643019871270</t>
  </si>
  <si>
    <t>CottonWorks CottonWorks Pima Exclusive 100 White Queen</t>
  </si>
  <si>
    <t>T1000CW-P-Q-WHITE</t>
  </si>
  <si>
    <t>BED HOG INC</t>
  </si>
  <si>
    <t>100% PIMA COTTON</t>
  </si>
  <si>
    <t>679610822229</t>
  </si>
  <si>
    <t>Hallmart Collectibles Bon-Nuit 14 PC King Comforter Navy King</t>
  </si>
  <si>
    <t>636047268426</t>
  </si>
  <si>
    <t>Greenland Home Fashions Katy Quilt Set, 3-Piece King Multi King</t>
  </si>
  <si>
    <t>GL-0804KMSK</t>
  </si>
  <si>
    <t>22415138635</t>
  </si>
  <si>
    <t>Sealy Sealy Soft Fluffy Comforter, K White King</t>
  </si>
  <si>
    <t>KGMATTRESS</t>
  </si>
  <si>
    <t>AMERICAN TEXTILE COMPANY</t>
  </si>
  <si>
    <t>190733168235</t>
  </si>
  <si>
    <t>Linum Home Linum Home Satin Piped Trim wi White Large</t>
  </si>
  <si>
    <t>WT00-00-LX-CHEE-CRWN</t>
  </si>
  <si>
    <t>883893550391</t>
  </si>
  <si>
    <t>Nautica Nautica Rendon FullQueen Duve Charcoal FullQueen</t>
  </si>
  <si>
    <t>USHSFN1052121</t>
  </si>
  <si>
    <t>841323179017</t>
  </si>
  <si>
    <t>Onyx Onyx House Khalvin Plaid 7 Pie Gray Queen</t>
  </si>
  <si>
    <t>KHV7BBQUENGHGY</t>
  </si>
  <si>
    <t>GENEVA HOME FASHION LLC</t>
  </si>
  <si>
    <t>883893685765</t>
  </si>
  <si>
    <t>Nautica Nautica Coveside 2-Piece Quilt Blue Twin</t>
  </si>
  <si>
    <t>USHSA91161137</t>
  </si>
  <si>
    <t>842933141999</t>
  </si>
  <si>
    <t>ienjoy Home Restyle your Room Reversible C Aqua Queen</t>
  </si>
  <si>
    <t>REVCOMFQIENJ</t>
  </si>
  <si>
    <t>100% MICROFIBER</t>
  </si>
  <si>
    <t>726895387100</t>
  </si>
  <si>
    <t>Charter Club Damask Pima Cotton 550-Thread Pale Lilac Twin</t>
  </si>
  <si>
    <t>DLLSLTWCLIL</t>
  </si>
  <si>
    <t>675716325732</t>
  </si>
  <si>
    <t>Madison Park Essentials Premier Comfort Satin 6-Pc. Ki Gold King</t>
  </si>
  <si>
    <t>SHET20-177</t>
  </si>
  <si>
    <t>191790040977</t>
  </si>
  <si>
    <t>AQ Textiles Camden 1250 thread count 4 pc Taupe Queen</t>
  </si>
  <si>
    <t>25542103025AQT</t>
  </si>
  <si>
    <t>847636047609</t>
  </si>
  <si>
    <t>Mytex Aster Floral 3-Pc. Reversible Navyyellow King</t>
  </si>
  <si>
    <t>ASTER FLORAL3PCK</t>
  </si>
  <si>
    <t>MYTEX LLC</t>
  </si>
  <si>
    <t>726895579260</t>
  </si>
  <si>
    <t>Martha Stewart Collection Solid Open Stock 400-Thread Co Pool Blue Queen Flat</t>
  </si>
  <si>
    <t>10021051QN</t>
  </si>
  <si>
    <t>706258615675</t>
  </si>
  <si>
    <t>Martha Stewart Collection Essentials Quilted Waterproof White Full</t>
  </si>
  <si>
    <t>100058089FU</t>
  </si>
  <si>
    <t>843669132886</t>
  </si>
  <si>
    <t>Home Weavers Modesto 5 Pc Bath Rug Linen</t>
  </si>
  <si>
    <t>BMO5PCLI</t>
  </si>
  <si>
    <t>732998775232</t>
  </si>
  <si>
    <t>Hotel Collection Hotel Collection Avalon King C Ivory King</t>
  </si>
  <si>
    <t>100090379KG</t>
  </si>
  <si>
    <t>636206071744</t>
  </si>
  <si>
    <t>Hotel Collection Dimensional FullQueen Comfort Blue FullQueen</t>
  </si>
  <si>
    <t>100044714FQ</t>
  </si>
  <si>
    <t>750105134437</t>
  </si>
  <si>
    <t>Charter Club European White Down Medium Wei White King</t>
  </si>
  <si>
    <t>FEDC0820WK</t>
  </si>
  <si>
    <t>PB COMFORTERS</t>
  </si>
  <si>
    <t>SHELL: 100% COTTON; FILL: DOWN; 600 FILL POWER</t>
  </si>
  <si>
    <t>732997259832</t>
  </si>
  <si>
    <t>Hotel Collection Hotel Collection Italian Perca White King</t>
  </si>
  <si>
    <t>733001092629</t>
  </si>
  <si>
    <t>Hotel Collection Hydrangea Velvet King Coverlet White King</t>
  </si>
  <si>
    <t>100110819KG</t>
  </si>
  <si>
    <t>811098032886</t>
  </si>
  <si>
    <t>St. James Home Puredown Light Warmth Comforte White King</t>
  </si>
  <si>
    <t>PD-18074-T</t>
  </si>
  <si>
    <t>SHELL - 100 % COTTON, FILLING - DOWN, FEATHER</t>
  </si>
  <si>
    <t>732999290314</t>
  </si>
  <si>
    <t>Hotel Collection Hotel Collection Bedford Geo K Wheat King</t>
  </si>
  <si>
    <t>100099754KG</t>
  </si>
  <si>
    <t>HOTEL COLLECTION-EDI/RWI/PACFUNG</t>
  </si>
  <si>
    <t>732999983759</t>
  </si>
  <si>
    <t>Hotel Collection Leaflet FullQueen Duvet, Crea Gold FullQueen</t>
  </si>
  <si>
    <t>100077695FQ</t>
  </si>
  <si>
    <t>96675608948</t>
  </si>
  <si>
    <t>EcoPEDIC EcoPEDIC 2.5 MemoryLOFT Full White Full</t>
  </si>
  <si>
    <t>706258596677</t>
  </si>
  <si>
    <t>Charter Club Ultra Fine Cotton 800-Thread C White Queen</t>
  </si>
  <si>
    <t>T800QNSWHT</t>
  </si>
  <si>
    <t>CHARTER CLUB-EDI/RWI/NAISHAT</t>
  </si>
  <si>
    <t>193197002169</t>
  </si>
  <si>
    <t>The Cordless Collection Insulating Cordless Roman Shad White 24x72</t>
  </si>
  <si>
    <t>3Q24X72</t>
  </si>
  <si>
    <t>CORDLESS COLLECT/ALL STRONG INDUST</t>
  </si>
  <si>
    <t>SHADE FRONT IS100% COTTON/BACKING SHADE IS100% POLYESTER</t>
  </si>
  <si>
    <t>732998215998</t>
  </si>
  <si>
    <t>Charter Club Damask Supima Cotton 550-Threa Neo Natural King</t>
  </si>
  <si>
    <t>DLLSLKGSNAT</t>
  </si>
  <si>
    <t>706258089742</t>
  </si>
  <si>
    <t>Charter Club Damask Supima Cotton 550-Threa White King</t>
  </si>
  <si>
    <t>DLLSLKGSWHT</t>
  </si>
  <si>
    <t>706258633396</t>
  </si>
  <si>
    <t>Charter Club Damask Designs Diamond Dot Cot White King</t>
  </si>
  <si>
    <t>D3KGCDDOTW</t>
  </si>
  <si>
    <t>733001381600</t>
  </si>
  <si>
    <t>Charter Club Cotton Matelasse Ribbed 3-Pc. White King</t>
  </si>
  <si>
    <t>100108509KG</t>
  </si>
  <si>
    <t>706258050773</t>
  </si>
  <si>
    <t>Charter Club Damask Stripe Supima Cotton 55 White Queen</t>
  </si>
  <si>
    <t>DLLSTQNSWHT</t>
  </si>
  <si>
    <t>642472103881</t>
  </si>
  <si>
    <t>Exclusive Home Exclusive Home Forest Hill Pat Medium Gre ONE SIZE</t>
  </si>
  <si>
    <t>EH8309108X84</t>
  </si>
  <si>
    <t>191790027848</t>
  </si>
  <si>
    <t>Fairfield Square Collection Hampton Cotton 650-Thread Coun White Queen</t>
  </si>
  <si>
    <t>24002103001AQT</t>
  </si>
  <si>
    <t>783048037442</t>
  </si>
  <si>
    <t>Truly Soft Truly Soft Everyday Hotel Bord White And Blush King</t>
  </si>
  <si>
    <t>DCS2182BSKC7-00</t>
  </si>
  <si>
    <t>FABRIC/FILL: POLYESTER</t>
  </si>
  <si>
    <t>642472101528</t>
  </si>
  <si>
    <t>Exclusive Home Exclusive Home Squared Embelli White 54x108</t>
  </si>
  <si>
    <t>EH829254X108</t>
  </si>
  <si>
    <t>655385040631</t>
  </si>
  <si>
    <t>Elite Home Organic Cotton Duvet Sets Oyster King</t>
  </si>
  <si>
    <t>300DSKG002ORGNC</t>
  </si>
  <si>
    <t>848742083215</t>
  </si>
  <si>
    <t>Lush Decor Linen Button 72 x 72 Shower Gray 72X72</t>
  </si>
  <si>
    <t>16T004033</t>
  </si>
  <si>
    <t>LUSH DECOR/TRIANGLE HOME FASHIONS</t>
  </si>
  <si>
    <t>COTTON/LINEN</t>
  </si>
  <si>
    <t>22415564168</t>
  </si>
  <si>
    <t>Sealy Luxury 100 Cotton King Mattre White King</t>
  </si>
  <si>
    <t>AMERICAN TEXTILE</t>
  </si>
  <si>
    <t>733001335016</t>
  </si>
  <si>
    <t>Charter Club Damask Designs 550-Thread Coun Poppy Full</t>
  </si>
  <si>
    <t>100108502FL</t>
  </si>
  <si>
    <t>CHARTER CLUB-EDI/RWI/LAMEIRINHO</t>
  </si>
  <si>
    <t>732996151892</t>
  </si>
  <si>
    <t>Charter Club Damask Designs Textured Paisle Cobalt King</t>
  </si>
  <si>
    <t>100058478KG</t>
  </si>
  <si>
    <t>86268145080</t>
  </si>
  <si>
    <t>Arlee Home Fashions CLOSEOUT Arlee Lounger and Cu Cobblestone Taupe No Size</t>
  </si>
  <si>
    <t>59-01005CLS</t>
  </si>
  <si>
    <t>ARLEE HOME FASHIONS</t>
  </si>
  <si>
    <t>POLYESTER FIBER</t>
  </si>
  <si>
    <t>706254231152</t>
  </si>
  <si>
    <t>Hotel Collection Embroidered Frame King Sham Charcoal King Sham</t>
  </si>
  <si>
    <t>EF13KS790CH</t>
  </si>
  <si>
    <t>734737581906</t>
  </si>
  <si>
    <t>Sunham Bella Blue 12-Pc. Reversible Q Blue Queen</t>
  </si>
  <si>
    <t>190733124439</t>
  </si>
  <si>
    <t>Linum Home ANNABELLE 3PC Embellished Towe Light Grey</t>
  </si>
  <si>
    <t>ANNABELLE-3C</t>
  </si>
  <si>
    <t>732999521654</t>
  </si>
  <si>
    <t>Hotel Collection Hotel Collection Cambria King White King</t>
  </si>
  <si>
    <t>100105510KG</t>
  </si>
  <si>
    <t>883893628793</t>
  </si>
  <si>
    <t>Laura Ashley Crochet Ruffle Queen Bedskirt White Queen</t>
  </si>
  <si>
    <t>USHSEA1125274</t>
  </si>
  <si>
    <t>DROP COTTON. PLATFORM POLYPROPYLENE. TRIM COTTON</t>
  </si>
  <si>
    <t>732998775201</t>
  </si>
  <si>
    <t>Hotel Collection Hotel Collection Avalon Standa Ivory Standard</t>
  </si>
  <si>
    <t>100057798SD</t>
  </si>
  <si>
    <t>STANDARD</t>
  </si>
  <si>
    <t>840970154903</t>
  </si>
  <si>
    <t>Cathay Home Inc. Oversize Lightweight Quilt Set Light Blue FullQueen</t>
  </si>
  <si>
    <t>918915-FQ</t>
  </si>
  <si>
    <t>CATHAY HOME INC</t>
  </si>
  <si>
    <t>883893406407</t>
  </si>
  <si>
    <t>Laura Ashley Laura Ashley Full Solid Ruffle White Full</t>
  </si>
  <si>
    <t>783048108661</t>
  </si>
  <si>
    <t>Sean John Black Excellence 50 x 70 Thr Blackwhite 50x70</t>
  </si>
  <si>
    <t>TH3237BE-9100</t>
  </si>
  <si>
    <t>SEAN JOHN/PEM AMERICA INC</t>
  </si>
  <si>
    <t>VELVET</t>
  </si>
  <si>
    <t>883893406346</t>
  </si>
  <si>
    <t>Laura Ashley Laura Ashley Full Solid Ruffle Beige Full</t>
  </si>
  <si>
    <t>10482887006</t>
  </si>
  <si>
    <t>Levinsohn Textiles Fresh Ideas Ruffled Eyelet Kin White King</t>
  </si>
  <si>
    <t>FRE30018WHIT04</t>
  </si>
  <si>
    <t>29927578270</t>
  </si>
  <si>
    <t>Sun Zero Oslo 52 x 108 Theater Grade Pearl 52x108</t>
  </si>
  <si>
    <t>854130004038</t>
  </si>
  <si>
    <t>Morning Glamour Signature Box 2 Pack Satin Pil Leopard Standard Pillowcases</t>
  </si>
  <si>
    <t>PILLOWCASE2PRINT</t>
  </si>
  <si>
    <t>MORNING GLAMOUR/TCG CONTINUUM LLC</t>
  </si>
  <si>
    <t>100% SATIN CHARMEUSE POLYESTER</t>
  </si>
  <si>
    <t>675716893774</t>
  </si>
  <si>
    <t>Intelligent Design Microlight Plush King Oversize Purple King</t>
  </si>
  <si>
    <t>ID51-1091</t>
  </si>
  <si>
    <t>726895380118</t>
  </si>
  <si>
    <t>Hotel Collection Plume Standard Sham White Standard Sham</t>
  </si>
  <si>
    <t>1001530SD</t>
  </si>
  <si>
    <t>854130004298</t>
  </si>
  <si>
    <t>Morning Glamour Signature Box 2 Pack Satin Pil Gold Standard Pillowcases</t>
  </si>
  <si>
    <t>PILLOWCASE2PACK</t>
  </si>
  <si>
    <t>29927559217</t>
  </si>
  <si>
    <t>Sun Zero Sun Zero Duran Textured 100 B Linen 50x108</t>
  </si>
  <si>
    <t>810025012076</t>
  </si>
  <si>
    <t>Malouf Sleep Tite Pillow Protector - White</t>
  </si>
  <si>
    <t>SL00KKPP</t>
  </si>
  <si>
    <t>MALOUF/CVB INC</t>
  </si>
  <si>
    <t>636047383112</t>
  </si>
  <si>
    <t>Greenland Home Fashions Sasha Bed Skirt 15 Full White Full</t>
  </si>
  <si>
    <t>GL-1710FBKF</t>
  </si>
  <si>
    <t>96675322042</t>
  </si>
  <si>
    <t>SensorPEDIC Wellness Collection Fiber Pill White Standard</t>
  </si>
  <si>
    <t>29927578546</t>
  </si>
  <si>
    <t>Sun Zero Sun Zero Saxon 54 x 84 Black Dove White 54 x 84</t>
  </si>
  <si>
    <t>843669106887</t>
  </si>
  <si>
    <t>Home Weavers Bellflower Bath Rug 20 x 20 Linen</t>
  </si>
  <si>
    <t>BBE2020LI</t>
  </si>
  <si>
    <t>29927562552</t>
  </si>
  <si>
    <t>Sun Zero Evelina Faux Silk 50 x 84 Th Stone 50x84</t>
  </si>
  <si>
    <t>674811002883</t>
  </si>
  <si>
    <t>Lyndale Decor Lyndale Decor Regency Velvet R Blush 54 x 52</t>
  </si>
  <si>
    <t>REGENCY01-54</t>
  </si>
  <si>
    <t>LYNDALE INTERNATIONAL INC</t>
  </si>
  <si>
    <t>GROMMET- METAL, FABRIC- 100% POLYESTER</t>
  </si>
  <si>
    <t>819352029634</t>
  </si>
  <si>
    <t>Elegant Comfort Elegant Comfort Silky Soft Sin White California King</t>
  </si>
  <si>
    <t>CALIFITTEDBLACK</t>
  </si>
  <si>
    <t>ELEGANT COMFORT/BESPOLITAN INC</t>
  </si>
  <si>
    <t>POLYESTER MICROFIBER</t>
  </si>
  <si>
    <t>675716783778</t>
  </si>
  <si>
    <t>Madison Park Arctic 50 x 60 Checkerboard Ivory 50x60</t>
  </si>
  <si>
    <t>BASI50-0413</t>
  </si>
  <si>
    <t>FAUX-FUR FACE: POLYESTER 280 GRAMS PER SQUARE METER; FAUX-FUR REVERSE: 100 GRAMS PER SQUARE METER 6D POLYESTER FILL</t>
  </si>
  <si>
    <t>29927524840</t>
  </si>
  <si>
    <t>Sun Zero Oslo 52 x 63 Theater Grade E Haze 52x63</t>
  </si>
  <si>
    <t>54006626856</t>
  </si>
  <si>
    <t>Achim Fairfield 55x84 WH Burgundy 55x84</t>
  </si>
  <si>
    <t>FF5P84BU12</t>
  </si>
  <si>
    <t>MEDIUM RED</t>
  </si>
  <si>
    <t>ACHIM IMPORTING CO INC</t>
  </si>
  <si>
    <t>789323315588</t>
  </si>
  <si>
    <t>Saro Lifestyle Saro Lifestyle Cord Piped Thro Gray 22x22</t>
  </si>
  <si>
    <t>1337-DOWN</t>
  </si>
  <si>
    <t>SARO TRADING COMPANY</t>
  </si>
  <si>
    <t>99446469342</t>
  </si>
  <si>
    <t>Nourison Waverly Great Expectation 24 Navy</t>
  </si>
  <si>
    <t>WAV0WG011NAV024036</t>
  </si>
  <si>
    <t>NOURISON INDUSTRIES INC</t>
  </si>
  <si>
    <t>29927534528</t>
  </si>
  <si>
    <t>Sun Zero Sun Zero Preston 40 x 63 Gro Grey 40x63</t>
  </si>
  <si>
    <t>735732294471</t>
  </si>
  <si>
    <t>VCNY Home Pandora Printed 72 x 72 Shower Aqua ONE SIZE</t>
  </si>
  <si>
    <t>PAO-SHC-7272-I2-AQUA</t>
  </si>
  <si>
    <t>636193128254</t>
  </si>
  <si>
    <t>Hotel Collection Turkish 16 x 30 Hand Towel Steel Hand Towels</t>
  </si>
  <si>
    <t>HTLTURHSTE</t>
  </si>
  <si>
    <t>34299129418</t>
  </si>
  <si>
    <t>Excell Weighted 70 x 72 Shower Curt White</t>
  </si>
  <si>
    <t>1C0-040C0-0921</t>
  </si>
  <si>
    <t>BY APPOINTMENT-EXCELL HOME FASHIONS</t>
  </si>
  <si>
    <t>608356690656</t>
  </si>
  <si>
    <t>Charter Club Elite Hygro Cotton Bath Towel Ivory Bath Towels</t>
  </si>
  <si>
    <t>21864275618</t>
  </si>
  <si>
    <t>Avanti Galaxy Fingertip Towel White</t>
  </si>
  <si>
    <t>019334WHT</t>
  </si>
  <si>
    <t>FINGER TIP</t>
  </si>
  <si>
    <t>AVANTI LINENS/AVANTI LINENS INC</t>
  </si>
  <si>
    <t>732998768166</t>
  </si>
  <si>
    <t>Home Design Cotton 27.6 x 54 Bath Towel Coral Bath Towels</t>
  </si>
  <si>
    <t>732994993838</t>
  </si>
  <si>
    <t>Charter Club Elite Fashion Medallion Cotton Cornflower Blue Washcloths</t>
  </si>
  <si>
    <t>DARK BLUE</t>
  </si>
  <si>
    <t>732995009378</t>
  </si>
  <si>
    <t>Charter Club Cotton 13 x 13 Wash Towel Spruce Blue Washcloths</t>
  </si>
  <si>
    <t>733002007752</t>
  </si>
  <si>
    <t>Hotel Collection Skyline King Coverlet, Created Cloud King</t>
  </si>
  <si>
    <t>100114481KG</t>
  </si>
  <si>
    <t>883893683365</t>
  </si>
  <si>
    <t>Kenneth Cole New York Kenneth Cole New York Miro Sol Light Pastel Queen</t>
  </si>
  <si>
    <t>USHSA01159173</t>
  </si>
  <si>
    <t>KENNETH COLE/REVMAN INTERNATIONAL</t>
  </si>
  <si>
    <t>191790043879</t>
  </si>
  <si>
    <t>WHT T800 COT QN</t>
  </si>
  <si>
    <t>25892103001AQT</t>
  </si>
  <si>
    <t>783048136138</t>
  </si>
  <si>
    <t>Material Girl Material Girl Bottom Dye Sherp Purple One Size Fits All</t>
  </si>
  <si>
    <t>MG SHERPA PRP THR</t>
  </si>
  <si>
    <t>810549023695</t>
  </si>
  <si>
    <t>Reversifi Reversifi Center Pleat Bed Ski Pink Queen</t>
  </si>
  <si>
    <t>TRC31-BSCPBF</t>
  </si>
  <si>
    <t>RIGHT CHOICE BEDDING CORP</t>
  </si>
  <si>
    <t>86569023285</t>
  </si>
  <si>
    <t>Madison Park Essentials Maible Reversible 9-Pc. Queen Aqua Queen</t>
  </si>
  <si>
    <t>MPE10-729</t>
  </si>
  <si>
    <t>COMFORTER/SHAM/BEDSKIRT/PILLOW: POLYESTER; SHEET SET: COTTON; COMFORTER/PILLOW FILL: POLYESTER 75 GSM</t>
  </si>
  <si>
    <t>610406819047</t>
  </si>
  <si>
    <t>Homey Cozy Homey Cozy Outdoor Pillow, Pin Yellow 20x20</t>
  </si>
  <si>
    <t>8H2309-20-YELLOW-2PK</t>
  </si>
  <si>
    <t>HOME ACCENT PILLOW INC</t>
  </si>
  <si>
    <t>POLYESTER ARLIC FABRIC</t>
  </si>
  <si>
    <t>610406820449</t>
  </si>
  <si>
    <t>Homey Cozy June 20 x 20 Outdoor Pillow Navy 20x20</t>
  </si>
  <si>
    <t>7H5240-20-NAVY-2PK</t>
  </si>
  <si>
    <t>610406820555</t>
  </si>
  <si>
    <t>Homey Cozy June 20 x 20 Outdoor Pillow Aqua 20x20</t>
  </si>
  <si>
    <t>7H5240-20-AQUA</t>
  </si>
  <si>
    <t>610406819535</t>
  </si>
  <si>
    <t>Homey Cozy Homey Cozy Chloe Jacquard Plai Turquoise 20x20</t>
  </si>
  <si>
    <t>85036-TURQUOISE</t>
  </si>
  <si>
    <t>JACQUARD</t>
  </si>
  <si>
    <t>610406820814</t>
  </si>
  <si>
    <t>Homey Cozy Homey Cozy Iris Modern Cut Vel Indigo 12x20</t>
  </si>
  <si>
    <t>75084-1220-INDIGO</t>
  </si>
  <si>
    <t>16X16</t>
  </si>
  <si>
    <t>POLYESTER VELVET</t>
  </si>
  <si>
    <t>610406819436</t>
  </si>
  <si>
    <t>Homey Cozy Homey Cozy Scarlett Liane Thro Blue 20x20</t>
  </si>
  <si>
    <t>85098-BLUE</t>
  </si>
  <si>
    <t>719294449678</t>
  </si>
  <si>
    <t>Sherry Kline Sherry Kline Chateau Royale 4- Burgundy</t>
  </si>
  <si>
    <t>PACIFIC COAST HOME FURNISHINGS INC</t>
  </si>
  <si>
    <t>732998346647</t>
  </si>
  <si>
    <t>Martha Stewart Collection Ivory Paisley Plume 14-Pc. Cal Ivory California King</t>
  </si>
  <si>
    <t>100089179CK</t>
  </si>
  <si>
    <t>CLSD-MS M/BED</t>
  </si>
  <si>
    <t>MARTHA STEWART-EDI/BCP HOME INC</t>
  </si>
  <si>
    <t>86569209023</t>
  </si>
  <si>
    <t>Madison Park Madison Park Odette Queen 8 Pi Tan Queen</t>
  </si>
  <si>
    <t>MP10-6287</t>
  </si>
  <si>
    <t>COMFORTER/SHAM - POLYESTER JACQUARD WITH DAMASK STRIA TEXTURE, POLYESTER MICROFIBER REVERSE, DECORATIVE PILLOW/EURO SHAM/BEDSKIRT DROP - CHARMEUSE, BEDSKIRT PLATFORM - POLYESTER, COMFORTER/DECORATIVE PILLOW FILL - 100% POLYESTER</t>
  </si>
  <si>
    <t>675716924553</t>
  </si>
  <si>
    <t>Madison Park Madison Park Adeline Paisley 5 Brown King</t>
  </si>
  <si>
    <t>MP13-4339</t>
  </si>
  <si>
    <t>BEDSPREAD/SHAM/PILLOW: POLYESTER; BEDSPREAD FILL: COTTON/POLYESTER/OTHER 240 GRAMS PER SQUARE METER; PILLOW FILL: POLYESTER</t>
  </si>
  <si>
    <t>675716811594</t>
  </si>
  <si>
    <t>Urban Habitat Sunita Cotton 7-Pc. KingCalif White KingCalifornia King</t>
  </si>
  <si>
    <t>UH12-0038</t>
  </si>
  <si>
    <t>DUVET/SHAM/EUROPEAN SHAM/PILLOW: COTTON; THREAD COUNT: 140; PILLOW FILL: POLYESTER</t>
  </si>
  <si>
    <t>800014135350</t>
  </si>
  <si>
    <t>Ellison First Asia Megan 5-Pc. King Comforter Set White King</t>
  </si>
  <si>
    <t>17211704BH-WHT</t>
  </si>
  <si>
    <t>ELLISON FIRST ASIA LLC</t>
  </si>
  <si>
    <t>FABRIC: POLYESTER; FILL: POLYESTER 85 GRAMS PER SQUARE METER</t>
  </si>
  <si>
    <t>732997232941</t>
  </si>
  <si>
    <t>Hotel Collection CLOSEOUT Hotel Collection Lin Black FullQueen</t>
  </si>
  <si>
    <t>100058165FQ</t>
  </si>
  <si>
    <t>86569003355</t>
  </si>
  <si>
    <t>Urban Habitat Brooklyn 7-Pc. FullQueen Cott Grey FullQueen</t>
  </si>
  <si>
    <t>UH12-2163</t>
  </si>
  <si>
    <t>DUVET/SHAM: COTTON; PILLOW/EUROPEAN SHAM: COTTON; PILLOW FILL: POLYESTER</t>
  </si>
  <si>
    <t>675716784126</t>
  </si>
  <si>
    <t>Madison Park Biloxi 6-Pc. KingCalifornia K Purple KingCalifornia King</t>
  </si>
  <si>
    <t>MP12-3054</t>
  </si>
  <si>
    <t>DUVET AND SHAMS: POLYESTER; DECORATIVE PILLOWS: POLYESTER; POLYESTER FILL</t>
  </si>
  <si>
    <t>706258481287</t>
  </si>
  <si>
    <t>Martha Stewart Collection Chenille Trellis 2-Pc. Twin Co Light Blue TwinTwin XL</t>
  </si>
  <si>
    <t>100036498TW</t>
  </si>
  <si>
    <t>MMG-MARTHA STEWART-EDI/SUNHAM HOME</t>
  </si>
  <si>
    <t>COTTON / POLYESTER</t>
  </si>
  <si>
    <t>30955230153</t>
  </si>
  <si>
    <t>Greenzone Greenzone Queen Mattress Prote White Queen</t>
  </si>
  <si>
    <t>BAMTER-QPP-Q</t>
  </si>
  <si>
    <t>QNMATTRESS</t>
  </si>
  <si>
    <t>DREAMTEX HOME LLC</t>
  </si>
  <si>
    <t>BAMBOO TERRY MATTRESS PROTECTOR, BAMBOO JERSEY PILLOW PROTECTOR</t>
  </si>
  <si>
    <t>86569000804</t>
  </si>
  <si>
    <t>Urban Habitat Urban Habitat Larisa 7-Pc Full Blush FullQueen</t>
  </si>
  <si>
    <t>UH12-2139</t>
  </si>
  <si>
    <t>100% COTTON PERCALE ; DECORATIVE PILLOW FILL: 100% POLYESTER</t>
  </si>
  <si>
    <t>704715327574</t>
  </si>
  <si>
    <t>Joluzzy Zippered Mattress Protector Be White California King</t>
  </si>
  <si>
    <t>ME100</t>
  </si>
  <si>
    <t>L&amp;K GOODS DBA JOLUZZY</t>
  </si>
  <si>
    <t>COTTON, POLYESTER, POLYURETHANE</t>
  </si>
  <si>
    <t>675716456016</t>
  </si>
  <si>
    <t>Madison Park Larkspur Reversible 3-Pc. King BrownSand King</t>
  </si>
  <si>
    <t>BASI10-0197</t>
  </si>
  <si>
    <t>FABRIC: POLYESTER/ FILL: POLYESTER</t>
  </si>
  <si>
    <t>732998021148</t>
  </si>
  <si>
    <t>Charter Club Damask Designs Outline Cotton Red King</t>
  </si>
  <si>
    <t>100058460KG</t>
  </si>
  <si>
    <t>811098037263</t>
  </si>
  <si>
    <t>UNIKOME UNIKOME 2-Pack Feather Down White King</t>
  </si>
  <si>
    <t>TN-DP21018-K</t>
  </si>
  <si>
    <t>TEXTILE NEST INC</t>
  </si>
  <si>
    <t>811098037430</t>
  </si>
  <si>
    <t>UNIKOME UNIKOME 2-Pack Feather Down White 26x26</t>
  </si>
  <si>
    <t>TN-PI21002-D</t>
  </si>
  <si>
    <t>26X26</t>
  </si>
  <si>
    <t>704715327581</t>
  </si>
  <si>
    <t>Joluzzy Zippered Mattress Protector Be White Twin XL</t>
  </si>
  <si>
    <t>LTMATTRESS</t>
  </si>
  <si>
    <t>849657032619</t>
  </si>
  <si>
    <t>Rod Desyne Bonnet Curtain Rod 1 OD 28-48 Light Gold 28-48in</t>
  </si>
  <si>
    <t>100-37-283</t>
  </si>
  <si>
    <t>ROD DESYNE</t>
  </si>
  <si>
    <t>METAL</t>
  </si>
  <si>
    <t>811788032646</t>
  </si>
  <si>
    <t>Amazing Rugs Amazing Rugs Cut Velvet Cheque Blue 18 x 18</t>
  </si>
  <si>
    <t>PIL-VTG4545</t>
  </si>
  <si>
    <t>AMAZING RUGS</t>
  </si>
  <si>
    <t>100% POLYESTER FILL</t>
  </si>
  <si>
    <t>86569897381</t>
  </si>
  <si>
    <t>Madison Park Larkspur Reversible 3-Pc. Full CharcoalGrey FullQueen</t>
  </si>
  <si>
    <t>MPE10-615</t>
  </si>
  <si>
    <t>732994070867</t>
  </si>
  <si>
    <t>Charter Club Damask Designs Colorblock Euro Navy European Sham</t>
  </si>
  <si>
    <t>DMSPEUCNAV</t>
  </si>
  <si>
    <t>PIMA COTTON</t>
  </si>
  <si>
    <t>83013283882</t>
  </si>
  <si>
    <t>Croscill Esmeralda 16 x 16 Fashion Pi Boudeaux No Size</t>
  </si>
  <si>
    <t>2A0-582C0-9016</t>
  </si>
  <si>
    <t>DARK RED</t>
  </si>
  <si>
    <t>EX-CELL HOME FASHIONS INC</t>
  </si>
  <si>
    <t>718022496076</t>
  </si>
  <si>
    <t>Mombasa Siam Canopy Ivory Canopy</t>
  </si>
  <si>
    <t>MOMBASA/PADACHY INC</t>
  </si>
  <si>
    <t>811788031373</t>
  </si>
  <si>
    <t>Amazing Rugs 1 Lime 18 x 18</t>
  </si>
  <si>
    <t>PIL-NSL-2010</t>
  </si>
  <si>
    <t>POLYESTER WITH COTTON BACKING</t>
  </si>
  <si>
    <t>810006714616</t>
  </si>
  <si>
    <t>Enchante Home Enchante Home Luxury Goose Dow White Queen</t>
  </si>
  <si>
    <t>PLLW10FIRMQUEN</t>
  </si>
  <si>
    <t>TURKO TEXTILE LLC</t>
  </si>
  <si>
    <t>100% COTTON; FILL: 10% DOWN/90% FEATHER; 700 FILL POWER</t>
  </si>
  <si>
    <t>86569896735</t>
  </si>
  <si>
    <t>Madison Park Edina 20 Square Faux-Fur Deco Natural 20x20</t>
  </si>
  <si>
    <t>MP30-4829</t>
  </si>
  <si>
    <t>FAUX-FUR FACE: ACRYLIC/POLYESTER; FAUX-FUR REVERSE: POLYESTER; FEATHER/DOWN FILL</t>
  </si>
  <si>
    <t>816402015142</t>
  </si>
  <si>
    <t>US Shade Shutter Cordless 1 Mini Blind White</t>
  </si>
  <si>
    <t>CLSDP3664A-36</t>
  </si>
  <si>
    <t>WHOLESPACE INDUSTRIES LTD</t>
  </si>
  <si>
    <t>95% PVC; 5% STEEL</t>
  </si>
  <si>
    <t>26865880199</t>
  </si>
  <si>
    <t>Elrene Elrene All Seasons 18 x 18 F Rouge 18x18</t>
  </si>
  <si>
    <t>19052ROU</t>
  </si>
  <si>
    <t>LT/PAS RED</t>
  </si>
  <si>
    <t>76389012545</t>
  </si>
  <si>
    <t>CHF Window Treatments, Kendall 52 Ivory 52x84</t>
  </si>
  <si>
    <t>1-80370GIV</t>
  </si>
  <si>
    <t>26 SGL</t>
  </si>
  <si>
    <t>CHF INDUSTRIES INC</t>
  </si>
  <si>
    <t>POLYESTER; LINING: POLYESTER</t>
  </si>
  <si>
    <t>675716772550</t>
  </si>
  <si>
    <t>Madison Park Duke 20 Square Faux-Fur Decor Black 20x20</t>
  </si>
  <si>
    <t>MP30-2997</t>
  </si>
  <si>
    <t>FAUX-FUR FACE: POLYESTER 300 GRAMS PER SQUARE METER; FAUX-FUR REVERSE: POLYESTER 180 GRAMS PER SQUARE METER; POLYESTER FILL</t>
  </si>
  <si>
    <t>34299129456</t>
  </si>
  <si>
    <t>Excell Brushed-Nickel Ball 12-Pc. Sho Brushed Nickel No Size</t>
  </si>
  <si>
    <t>1C0-061C0-0557</t>
  </si>
  <si>
    <t>811098037454</t>
  </si>
  <si>
    <t>UNIKOME UNIKOME 2-Pack White Goose Fea White King</t>
  </si>
  <si>
    <t>TN-DP21031-K</t>
  </si>
  <si>
    <t>843669122597</t>
  </si>
  <si>
    <t>Home Weavers Bellflower Bath Rug 4 Pc Blue</t>
  </si>
  <si>
    <t>BBE4PC17212421BL</t>
  </si>
  <si>
    <t>54X21</t>
  </si>
  <si>
    <t>810006714654</t>
  </si>
  <si>
    <t>PLLW75FIRMQUEN</t>
  </si>
  <si>
    <t>100% COTTON; FILL: 75% DOWN/25% FEATHER; 700 FILL POWER</t>
  </si>
  <si>
    <t>732999609703</t>
  </si>
  <si>
    <t>Hotel Collection Hotel Collection Tessellate Ki Lightpastel Gr King</t>
  </si>
  <si>
    <t>100100877KG</t>
  </si>
  <si>
    <t>732996468020</t>
  </si>
  <si>
    <t>Hotel Collection Classic Roseblush King Duvet C Blush King</t>
  </si>
  <si>
    <t>100072028KG</t>
  </si>
  <si>
    <t>FABRIC: POLYESTER/COTTON; REVERSES TO COTTON</t>
  </si>
  <si>
    <t>646760135820</t>
  </si>
  <si>
    <t>Juicy Couture Velvet Gothic 3-Piece Queen Co Pink Queen</t>
  </si>
  <si>
    <t>JYZ010924</t>
  </si>
  <si>
    <t>JUICY/YMF CARPET INC</t>
  </si>
  <si>
    <t>850013529063</t>
  </si>
  <si>
    <t>JANEEN HOME Janeen Home Kamila Filigree Co White FullQueen</t>
  </si>
  <si>
    <t>RJSQ09W</t>
  </si>
  <si>
    <t>JANEEN HOME</t>
  </si>
  <si>
    <t>706257253700</t>
  </si>
  <si>
    <t>Hotel Collection 680 Thread-Count King Duvet Co White King</t>
  </si>
  <si>
    <t>68W12KD790</t>
  </si>
  <si>
    <t>SUPIMA® COTTON</t>
  </si>
  <si>
    <t>706258633556</t>
  </si>
  <si>
    <t>Charter Club Damask Designs Diamond Dot 300 White King</t>
  </si>
  <si>
    <t>DCF3KGDOTW</t>
  </si>
  <si>
    <t>86569015693</t>
  </si>
  <si>
    <t>Madison Park Madison Park Lola 6-Pc KingCa GreyBlush KingCalifornia King</t>
  </si>
  <si>
    <t>MP12-5674</t>
  </si>
  <si>
    <t>COVER: COTTON/POLYESTER, FILLING: POLYESTER</t>
  </si>
  <si>
    <t>841230036519</t>
  </si>
  <si>
    <t>Tempur-Pedic Tempur-Pedic Tempur-Ergo Neck White Medium</t>
  </si>
  <si>
    <t>15301115P</t>
  </si>
  <si>
    <t>MEDIUM S/S</t>
  </si>
  <si>
    <t>TEMPURâ„¢ MATERIAL PILLOW INTERIOR; PILLOW COVERS: PREMIUM KNIT OF COTTON-BLENDED FABRIC</t>
  </si>
  <si>
    <t>732997680957</t>
  </si>
  <si>
    <t>Hotel Collection Hotel Collection 1000 Thread C White King</t>
  </si>
  <si>
    <t>100013566KG</t>
  </si>
  <si>
    <t>HOTEL BY C CLUB-EDI/RWI/VTX</t>
  </si>
  <si>
    <t>733001947967</t>
  </si>
  <si>
    <t>Martha Stewart Collection Floral Bouquet Queen Bedspread Ivory Full</t>
  </si>
  <si>
    <t>100115801QN</t>
  </si>
  <si>
    <t>86569420381</t>
  </si>
  <si>
    <t>Addison Park Adela 9-Pc. King Comforter Set Multi King</t>
  </si>
  <si>
    <t>MCH10-2176</t>
  </si>
  <si>
    <t>193197061579</t>
  </si>
  <si>
    <t>The Cordless Collection 2 in. Cordless Faux Wood Venet Dark Oak 26 x 64</t>
  </si>
  <si>
    <t>QJ26X64</t>
  </si>
  <si>
    <t>45 TRIPLE</t>
  </si>
  <si>
    <t>788904113353</t>
  </si>
  <si>
    <t>Royal Luxe White Goose 240-Thread Count K White King</t>
  </si>
  <si>
    <t>BLUE RIDGE HOME FASHIONS</t>
  </si>
  <si>
    <t>DOWN FILL</t>
  </si>
  <si>
    <t>726895387186</t>
  </si>
  <si>
    <t>Charter Club Damask Stripe Supima Cotton 55 Pale Lilac Queen</t>
  </si>
  <si>
    <t>DLLSTQNSLIL</t>
  </si>
  <si>
    <t>763872702785</t>
  </si>
  <si>
    <t>EF Home Decor EF Home Decor IndoorOutdoor R Yellow</t>
  </si>
  <si>
    <t>CRICKET PRODUCTS EF HOME DECOR</t>
  </si>
  <si>
    <t>810001152635</t>
  </si>
  <si>
    <t>Pointehaven Pointehaven Printed Flannel Ki Bunnies King</t>
  </si>
  <si>
    <t>180PHKGSSBU</t>
  </si>
  <si>
    <t>SAFAH INTERNATIONAL INC</t>
  </si>
  <si>
    <t>646998692379</t>
  </si>
  <si>
    <t>Martha Stewart Collection Martha Stewart Bedford Woven P Linen 50x95</t>
  </si>
  <si>
    <t>1-20080ALE</t>
  </si>
  <si>
    <t>40X84/7</t>
  </si>
  <si>
    <t>800014138986</t>
  </si>
  <si>
    <t>Fiesta Luna Pintuck 4-Piece King Comf Lapis King</t>
  </si>
  <si>
    <t>18161704CS-LAP</t>
  </si>
  <si>
    <t>191790024502</t>
  </si>
  <si>
    <t>Fairfield Square Collection Brookline 1400-Thread Count 6- Sky Blue King</t>
  </si>
  <si>
    <t>23302104175AQT</t>
  </si>
  <si>
    <t>706258089506</t>
  </si>
  <si>
    <t>Charter Club Damask Supima Cotton 550-Threa White Full</t>
  </si>
  <si>
    <t>DLLSLFLSWHT</t>
  </si>
  <si>
    <t>813766024032</t>
  </si>
  <si>
    <t>Saffron Fabs Saffron Fabs Regency 50 x 30 Sage Green 30 x 50</t>
  </si>
  <si>
    <t>SFBR1412</t>
  </si>
  <si>
    <t>BRIGHT GRN</t>
  </si>
  <si>
    <t>SAFFRON FABS CORPORATION</t>
  </si>
  <si>
    <t>21166139595</t>
  </si>
  <si>
    <t>Harper Lane Harper Lane Merriam 5 piece Qu Blue King</t>
  </si>
  <si>
    <t>UNIVERSAL HOME FASH/WELCOME INDUST</t>
  </si>
  <si>
    <t>675716587628</t>
  </si>
  <si>
    <t>Madison Park Madison Park Quebec 2-Piece Tw White TwinTwin XL</t>
  </si>
  <si>
    <t>MP13-1387</t>
  </si>
  <si>
    <t>FACE: POLYESTER; FILL:COTTON</t>
  </si>
  <si>
    <t>706258547754</t>
  </si>
  <si>
    <t>Martha Stewart Collection Cotton Percale 400-Thread Coun Snowy Owl Full</t>
  </si>
  <si>
    <t>T4FLSSNOWY</t>
  </si>
  <si>
    <t>86569046109</t>
  </si>
  <si>
    <t>Beautyrest Sleep Philosophy 300 Thread Co White King</t>
  </si>
  <si>
    <t>BASI16-0550</t>
  </si>
  <si>
    <t>WONDER WOOL/JLA HOME/E &amp; E CO LTD</t>
  </si>
  <si>
    <t>TOPPER: 100% COTTON, 300 THREAD COUNT SATEEN WITH ANTIMICROBIAL AND ODOR ELIMINATING FABRIC; BACK: POLYPROPYLENE NON-WOVEN FIBER; FILLING: 8OZ/YD2 100% TENCEL FIBER; SKIRT: 100GSM POLYESTER KNIT; SEWING: 8" END-TO-END BOX</t>
  </si>
  <si>
    <t>675716674885</t>
  </si>
  <si>
    <t>Sleep Philosophy Peyton Reversible 3-Pc. FullQ Aqua FullQueen</t>
  </si>
  <si>
    <t>BASI10-0343</t>
  </si>
  <si>
    <t>190945117397</t>
  </si>
  <si>
    <t>Levtex Levtex Mills Waffle Euro Sham Blush European Sham</t>
  </si>
  <si>
    <t>L20631EU2</t>
  </si>
  <si>
    <t>814760024103</t>
  </si>
  <si>
    <t>ienjoy Home Home Collection All Season Pre Gray King</t>
  </si>
  <si>
    <t>COMFSLDKIENJ</t>
  </si>
  <si>
    <t>610406819214</t>
  </si>
  <si>
    <t>Homey Cozy Homey Cozy Outdoor Pillow, Fla Multi 20x20</t>
  </si>
  <si>
    <t>8H1137-20-MULTI-2PK</t>
  </si>
  <si>
    <t>86569099099</t>
  </si>
  <si>
    <t>Madison Park Liquid Cotton FullQueen Blank Lilac FullQueen</t>
  </si>
  <si>
    <t>MP51N-6026</t>
  </si>
  <si>
    <t>732996468082</t>
  </si>
  <si>
    <t>Hotel Collection Classic Roseblush Quilted King Blush European Sham</t>
  </si>
  <si>
    <t>100072048ER</t>
  </si>
  <si>
    <t>86569041104</t>
  </si>
  <si>
    <t>Madison Park Madison Park 525 Thread Count White Queen</t>
  </si>
  <si>
    <t>MP16-5971</t>
  </si>
  <si>
    <t>TOPPER: COTTON/POLYESTER, 525 THREAD COUNT COTTON RICH FABRIC, WINDOWPANE PATTERN; BACK: POLYPROPYLENE NON-WOVEN FIBER; FILLING: 406GSM 15D POLYESTER DOWN ALTERNATIVE FIBER; SKIRT: 100GSM POLYESTER KNIT; ELASTIC AROUND THE BOTTOM OF SKIRT</t>
  </si>
  <si>
    <t>706257404539</t>
  </si>
  <si>
    <t>Hotel Collection Cotton 680 Thread Count Queen Ivory Queen</t>
  </si>
  <si>
    <t>68I20QNFT</t>
  </si>
  <si>
    <t>679610822564</t>
  </si>
  <si>
    <t>Hallmart Collectibles Scroll Medallion 12 PC Reversi Blue Queen</t>
  </si>
  <si>
    <t>FIBER: 100% POLYESTER; FILLING: 100% POLYESTER; SHEETS: 100% POLYESTER</t>
  </si>
  <si>
    <t>842491101350</t>
  </si>
  <si>
    <t>Sweet Home Collection Sweet Home Collection King 3-P Burgundy King</t>
  </si>
  <si>
    <t>PP-DUVET-K</t>
  </si>
  <si>
    <t>SWEET HOME COLLECTION/BED BATH N MO</t>
  </si>
  <si>
    <t>29927575514</t>
  </si>
  <si>
    <t>Scott Living Renato 50 x 84 Linen Blend C Ecru 50x84</t>
  </si>
  <si>
    <t>646998691358</t>
  </si>
  <si>
    <t>Peri Home Peri Home Chenille Lattice 50 Grey ONE SIZE</t>
  </si>
  <si>
    <t>1-90360GGY</t>
  </si>
  <si>
    <t>191790022218</t>
  </si>
  <si>
    <t>AQ Textiles Optimum Performance 625-Thread Lavender Queen</t>
  </si>
  <si>
    <t>23102103071AQT</t>
  </si>
  <si>
    <t>675716994891</t>
  </si>
  <si>
    <t>Madison Park Madison Park Essentials Chambr Blue Stripe King</t>
  </si>
  <si>
    <t>MPE20-581</t>
  </si>
  <si>
    <t>732996250007</t>
  </si>
  <si>
    <t>Charter Club 360 Down Chamber 325-Thread Co White King</t>
  </si>
  <si>
    <t>100069245KG</t>
  </si>
  <si>
    <t>875108008872</t>
  </si>
  <si>
    <t>Celeste Home Celeste Home Ultra Soft Flanne Cream Twin</t>
  </si>
  <si>
    <t>FCH-TWCREAM</t>
  </si>
  <si>
    <t>190945089953</t>
  </si>
  <si>
    <t>Levtex Mackenzie Damask Reversible Qu Multi 50x60</t>
  </si>
  <si>
    <t>L71600QT</t>
  </si>
  <si>
    <t>191790040823</t>
  </si>
  <si>
    <t>AQ Textiles Camden Sateen 1250-Thread Coun Ivory Full</t>
  </si>
  <si>
    <t>25542102003AQT</t>
  </si>
  <si>
    <t>732997629352</t>
  </si>
  <si>
    <t>Charter Club Damask Designs Honeycomb 50 x Yellow Throw</t>
  </si>
  <si>
    <t>783048104724</t>
  </si>
  <si>
    <t>Brooklyn Loom Marshmallow Sherpa King Blanke Grey King</t>
  </si>
  <si>
    <t>BK3168CGKG-4500</t>
  </si>
  <si>
    <t>783048104601</t>
  </si>
  <si>
    <t>Brooklyn Loom Marshmallow Sherpa King Blanke Blush King</t>
  </si>
  <si>
    <t>BK3168BSKG-4500</t>
  </si>
  <si>
    <t>52501438547</t>
  </si>
  <si>
    <t>Lintex Marquis 100 Cotton King Blank Ivory King</t>
  </si>
  <si>
    <t>LINTEX LINENS/COBRA TRADING CORP</t>
  </si>
  <si>
    <t>86569038128</t>
  </si>
  <si>
    <t>JLA Home Sleep Philosophy Bamboo King S Ivory King</t>
  </si>
  <si>
    <t>BASI30-0525</t>
  </si>
  <si>
    <t>BODY: POLYESTER/ BAMBOO;</t>
  </si>
  <si>
    <t>883893637245</t>
  </si>
  <si>
    <t>Stone Cottage Solid Scallop Tailored Queen White Queen</t>
  </si>
  <si>
    <t>USHSEB1130952</t>
  </si>
  <si>
    <t>COTTON DROP, POLYPROPYLENE PLATFORM</t>
  </si>
  <si>
    <t>190733113884</t>
  </si>
  <si>
    <t>Linum Home Herringbone Bath Towel White</t>
  </si>
  <si>
    <t>HB-1BT</t>
  </si>
  <si>
    <t>732996226682</t>
  </si>
  <si>
    <t>Hotel Collection Moire 26 x 26 European Sham White European Sham</t>
  </si>
  <si>
    <t>100062609ER</t>
  </si>
  <si>
    <t>738980944778</t>
  </si>
  <si>
    <t>Popular Bath Michelle Bath Rug Lilac ONE SIZE</t>
  </si>
  <si>
    <t>POPULAR BATH PRODUCTS</t>
  </si>
  <si>
    <t>655385597425</t>
  </si>
  <si>
    <t>Elite Home Luxury Satin Solid Sheet Sets Leopard Queen</t>
  </si>
  <si>
    <t>MICSSQU064LUSA</t>
  </si>
  <si>
    <t>783048125064</t>
  </si>
  <si>
    <t>Pem America Blue Medallion King 3PC Comfor Blue King</t>
  </si>
  <si>
    <t>CS3555KG-1540</t>
  </si>
  <si>
    <t>726895453287</t>
  </si>
  <si>
    <t>Martha Stewart Collection Essentials Solid Microfiber 4- Green Mist Green Queen</t>
  </si>
  <si>
    <t>10014996QN</t>
  </si>
  <si>
    <t>LT/PAS GRN</t>
  </si>
  <si>
    <t>MARTHA S-EDI/RWI/PEM-SHEETS</t>
  </si>
  <si>
    <t>29927536638</t>
  </si>
  <si>
    <t>Sun Zero Saki Shibori Print 40 x 84 B Stone 40x84</t>
  </si>
  <si>
    <t>791551838692</t>
  </si>
  <si>
    <t>Berkshire Berkshire Classic Velvety Plus Sage Geo FullQueen</t>
  </si>
  <si>
    <t>16534-FQ-YH1</t>
  </si>
  <si>
    <t>854130004496</t>
  </si>
  <si>
    <t>Morning Glamour King Single Header Bag-Silver Silver King Pillowcases</t>
  </si>
  <si>
    <t>KINGSINGLEHEADER</t>
  </si>
  <si>
    <t>29927532425</t>
  </si>
  <si>
    <t>Sun Zero Sun Zero Grant 54 x 63 Gromm Vintage Blue 54x63</t>
  </si>
  <si>
    <t>41808899717</t>
  </si>
  <si>
    <t>Urban Playground Urban Playground Elloise Decor Blue</t>
  </si>
  <si>
    <t>A010318BLICE</t>
  </si>
  <si>
    <t>10482349122</t>
  </si>
  <si>
    <t>All-In-One Easy Care King Pillow Protecto White</t>
  </si>
  <si>
    <t>ALL16602WHIT09</t>
  </si>
  <si>
    <t>COVER: POLYESTER; LINING: POLYURETHANE</t>
  </si>
  <si>
    <t>706258616344</t>
  </si>
  <si>
    <t>Martha Stewart Collection Essentials 2-Pack StandardQue White StandardQueen</t>
  </si>
  <si>
    <t>100058083QN</t>
  </si>
  <si>
    <t>250 THREAD COUNT 100% COTTON, KNIFE EDGE, EXCLUSIVE OF DECORATION</t>
  </si>
  <si>
    <t>734737534902</t>
  </si>
  <si>
    <t>Sunham Soft Spun Cotton Wash Towel Light Tan Washcloths</t>
  </si>
  <si>
    <t>T18437N5281212</t>
  </si>
  <si>
    <t>751379644172</t>
  </si>
  <si>
    <t>Pillow Perfect Baja 18 x 18 Outdoor Decorat Nautical 18x18</t>
  </si>
  <si>
    <t>PILLOW PERFECT</t>
  </si>
  <si>
    <t>29927583786</t>
  </si>
  <si>
    <t>Sun Zero Amherst Velvet 50 x 63 Therm Pearl 50x63</t>
  </si>
  <si>
    <t>195425012544</t>
  </si>
  <si>
    <t>Lucid Dream Collection by Lucid Ligh White Twin</t>
  </si>
  <si>
    <t>DC70TT20MICO</t>
  </si>
  <si>
    <t>RTCOMFORTE</t>
  </si>
  <si>
    <t>840008358129</t>
  </si>
  <si>
    <t>Lucid Dream Collection by Lucid 50 Red 50x60</t>
  </si>
  <si>
    <t>DC5060RE28SHBL</t>
  </si>
  <si>
    <t>CVB INC</t>
  </si>
  <si>
    <t>840217700788</t>
  </si>
  <si>
    <t>Nestl Bedding Nestl Bedding Reading Backrest Beige Cream Medium</t>
  </si>
  <si>
    <t>MNRDPLWCAS-M</t>
  </si>
  <si>
    <t>SANDERS COLLECTION</t>
  </si>
  <si>
    <t>733001818458</t>
  </si>
  <si>
    <t>Martha Stewart Collection XOXO 16 x 28 Hand Towel White Combo Hand Towels</t>
  </si>
  <si>
    <t>MARTHA STEWART-EDI/E &amp; E CO LTD</t>
  </si>
  <si>
    <t>732997906613</t>
  </si>
  <si>
    <t>Hotel Collection Hotel Collection Terra King Co Grey King</t>
  </si>
  <si>
    <t>100075869KG</t>
  </si>
  <si>
    <t>FRONT: COTTON/POLYESTER/VISCOSE BLEND, BACK: 100% COTTON, 100% POLYESTER FILL</t>
  </si>
  <si>
    <t>732996226736</t>
  </si>
  <si>
    <t>Hotel Collection Moire King Comforter White King</t>
  </si>
  <si>
    <t>100069419KG</t>
  </si>
  <si>
    <t>732996468853</t>
  </si>
  <si>
    <t>Hotel Collection Classic Medallion King Coverle White King</t>
  </si>
  <si>
    <t>100072157KG</t>
  </si>
  <si>
    <t>675716748241</t>
  </si>
  <si>
    <t>Madison Park Essentials Essentials Jelena King 24-Pc. Red King</t>
  </si>
  <si>
    <t>MPE10-233</t>
  </si>
  <si>
    <t>COMFORTER/SHAM/BEDSKIRT DROP/PLATFORM/PILLOW/WINDOW PANEL/TIEBACKS/VALANCE/EUROPEAN SHAM: POLYESTER; SHEETS: POLYESTER 85 GRAMS PER SQUARE METER; COMFORTER/SHAM FILL: POLYESTER 270 GRAMS PER SQUARE METER; PILLOW FILL: POLYESTER</t>
  </si>
  <si>
    <t>857525008154</t>
  </si>
  <si>
    <t>Pillow Guy Down Alternative Side Back S Navyteal King</t>
  </si>
  <si>
    <t>PG-2PDAPF-NA-K</t>
  </si>
  <si>
    <t>PILLOW GUY INC</t>
  </si>
  <si>
    <t>PILLOW: POLYESTER/NYLON; EMBOSSED HYPO-ALLERGENIC SHELL, DOWN-ALTERNATIVE; POLY GEL FIBER FILLED PILLOW PROTECTOR: 233-THREAD COUNT 100% COTTON PERCALE</t>
  </si>
  <si>
    <t>735837083062</t>
  </si>
  <si>
    <t>Hotel Collection Hotel Collection Luxury Down A White King</t>
  </si>
  <si>
    <t>HDAK903</t>
  </si>
  <si>
    <t>840444147424</t>
  </si>
  <si>
    <t>Chic Home Chic Home Hannah 10-Pc. Queen Blue Queen</t>
  </si>
  <si>
    <t>CS4742MC</t>
  </si>
  <si>
    <t>732994723695</t>
  </si>
  <si>
    <t>Charter Club Damask Designs Seersucker 150- White Grey FullQueen</t>
  </si>
  <si>
    <t>100023822FQ</t>
  </si>
  <si>
    <t>FABRIC: COTTON; THREAD COUNT: 150; POLYESTER FILL (COMFORTER)</t>
  </si>
  <si>
    <t>96675611320</t>
  </si>
  <si>
    <t>SensorGel Sensor Gel SlumberMax Hybrid 4 White Full</t>
  </si>
  <si>
    <t>732998144168</t>
  </si>
  <si>
    <t>Charter Club Ultra Fine Cotton 800-Thread C Charcoal King</t>
  </si>
  <si>
    <t>T800KGSCHR</t>
  </si>
  <si>
    <t>636202611982</t>
  </si>
  <si>
    <t>Hotel Collection Hotel Collection 525 Thread Co White King</t>
  </si>
  <si>
    <t>5W18KSS790</t>
  </si>
  <si>
    <t>HOTEL BY C CLUB-EDI/RWI/KADRI MILLS</t>
  </si>
  <si>
    <t>706258051381</t>
  </si>
  <si>
    <t>Charter Club Damask Cotton 210-Thread Count Parchment FullQueen</t>
  </si>
  <si>
    <t>DSKQLTCFQPA</t>
  </si>
  <si>
    <t>706258547761</t>
  </si>
  <si>
    <t>Martha Stewart Collection Cotton Percale 400-Thread Coun Almond King</t>
  </si>
  <si>
    <t>T4KGSALMND</t>
  </si>
  <si>
    <t>732995554960</t>
  </si>
  <si>
    <t>Charter Club Sleep Cool Egyptian Hygro Cott Denim Sky King</t>
  </si>
  <si>
    <t>100048387KG</t>
  </si>
  <si>
    <t>CHARTER CLUB-EDI/RWI/WELSPUN</t>
  </si>
  <si>
    <t>706258049555</t>
  </si>
  <si>
    <t>Charter Club Damask Supima Cotton 550-Threa Horizon Sky Blue Full</t>
  </si>
  <si>
    <t>DLLSLFLSHZN</t>
  </si>
  <si>
    <t>732998215974</t>
  </si>
  <si>
    <t>Charter Club Damask Supima Cotton 550-Threa Neo Natural Full</t>
  </si>
  <si>
    <t>DLLSLFLSNAT</t>
  </si>
  <si>
    <t>636206071737</t>
  </si>
  <si>
    <t>Hotel Collection Dimensional 8 x 20 Decorativ Grey</t>
  </si>
  <si>
    <t>816651024728</t>
  </si>
  <si>
    <t>ienjoy Home Home Collection Premium Ultra Pale Blue Queen</t>
  </si>
  <si>
    <t>QLTHERQIENJ</t>
  </si>
  <si>
    <t>844353133486</t>
  </si>
  <si>
    <t>Rizzy Home Rizzy Home 20 x 20 Geometric Blue</t>
  </si>
  <si>
    <t>COVT13518NT002020</t>
  </si>
  <si>
    <t>RIZZY HOME/RIZTEX USA INC</t>
  </si>
  <si>
    <t>191790041141</t>
  </si>
  <si>
    <t>AQ Textiles Camden Sateen 1250-Thread Coun Gray King</t>
  </si>
  <si>
    <t>25542104427AQT</t>
  </si>
  <si>
    <t>636202045442</t>
  </si>
  <si>
    <t>Hotel Collection Hotel Collection Finest Elegan White Bath Sheets</t>
  </si>
  <si>
    <t>HTLELITESW</t>
  </si>
  <si>
    <t>COTTON/MODAL</t>
  </si>
  <si>
    <t>844353986471</t>
  </si>
  <si>
    <t>PILT13773BL002020</t>
  </si>
  <si>
    <t>844353936469</t>
  </si>
  <si>
    <t>Rizzy Home Rizzy Home 20 x 20 Geometric White</t>
  </si>
  <si>
    <t>PILT13128WHSV2020</t>
  </si>
  <si>
    <t>842491106720</t>
  </si>
  <si>
    <t>Sweet Home Collection Sweet Home Collection Cal King Berry California King</t>
  </si>
  <si>
    <t>6PCSHEET-CK</t>
  </si>
  <si>
    <t>MED PURPLE</t>
  </si>
  <si>
    <t>608381671347</t>
  </si>
  <si>
    <t>Hotel Collection Fresco Quilted Standard Sham Sage Standard Sham</t>
  </si>
  <si>
    <t>FOS25QS790</t>
  </si>
  <si>
    <t>732996226545</t>
  </si>
  <si>
    <t>Hotel Collection Moire King Sham White King Sham</t>
  </si>
  <si>
    <t>100057801KG</t>
  </si>
  <si>
    <t>86569930644</t>
  </si>
  <si>
    <t>JLA Home Hotel Glass Tray, Created for Tray</t>
  </si>
  <si>
    <t>MCH71-487</t>
  </si>
  <si>
    <t>732998000211</t>
  </si>
  <si>
    <t>Charter Club Euro Down Alternative 300-Thre White European</t>
  </si>
  <si>
    <t>100085913ER</t>
  </si>
  <si>
    <t>86569930743</t>
  </si>
  <si>
    <t>JLA Home Rose Soap Dish, Created for Ma White</t>
  </si>
  <si>
    <t>MCH71-492</t>
  </si>
  <si>
    <t>810549023091</t>
  </si>
  <si>
    <t>Reversifi Reversifi Center Pleat Bed Ski Dark Purpl Queen</t>
  </si>
  <si>
    <t>733002007578</t>
  </si>
  <si>
    <t>Hotel Collection Palmette Queen Bedskirt, Creat Cobalt Queen</t>
  </si>
  <si>
    <t>100117273QN</t>
  </si>
  <si>
    <t>887719142920</t>
  </si>
  <si>
    <t>Goodnight Sleep 1200 TC Cotton Poly 6-PC SS So Blue Queen</t>
  </si>
  <si>
    <t>T1200SLDBLQN</t>
  </si>
  <si>
    <t>GOODFUL/WELSPUN USA INC</t>
  </si>
  <si>
    <t>726895081053</t>
  </si>
  <si>
    <t>Hotel Collection Global Stripe King Duvet Cover Light Beige King</t>
  </si>
  <si>
    <t>1002039KG</t>
  </si>
  <si>
    <t>706254257428</t>
  </si>
  <si>
    <t>Hotel Collection Linen Stripe FullQueen Duvet Indigo FullQueen</t>
  </si>
  <si>
    <t>LR11QD790</t>
  </si>
  <si>
    <t>LINEN/COTTON</t>
  </si>
  <si>
    <t>734737417830</t>
  </si>
  <si>
    <t>Lacoste Home CLOSEOUT Lacoste Home Paris F Silver Grey FullQueen</t>
  </si>
  <si>
    <t>732996468921</t>
  </si>
  <si>
    <t>Hotel Collection Classic Egyptian Cotton 400-Th White King</t>
  </si>
  <si>
    <t>100067147KG</t>
  </si>
  <si>
    <t>783048034267</t>
  </si>
  <si>
    <t>Charisma Regent Velvet King Coverlet Silver King</t>
  </si>
  <si>
    <t>BQ2133SVKG-4400</t>
  </si>
  <si>
    <t>CHARISMA/PEM AMERICA INC</t>
  </si>
  <si>
    <t>FACE AND REVERSE: POLYESTER; FILL: COTTON FIBER/OTHER FIBERS</t>
  </si>
  <si>
    <t>636189403785</t>
  </si>
  <si>
    <t>Hotel Collection Cotton 525-Thread Count 4-Pc. Cloud Queen</t>
  </si>
  <si>
    <t>5U17QSS790</t>
  </si>
  <si>
    <t>47293355509</t>
  </si>
  <si>
    <t>Sure Fit Sure Fit Stretch Faux Suede So Camel Sofa Slipcover</t>
  </si>
  <si>
    <t>173627270U</t>
  </si>
  <si>
    <t>SURE FIT HOME PRODUCTS LLC</t>
  </si>
  <si>
    <t>POLYESTER/SPANDEX</t>
  </si>
  <si>
    <t>91116711034</t>
  </si>
  <si>
    <t>Sanders Ruffled King 7 Piece Comforter White King</t>
  </si>
  <si>
    <t>KPFCS2K</t>
  </si>
  <si>
    <t>734737549739</t>
  </si>
  <si>
    <t>Martha Stewart Collection Crinkle Cotton 3-Pc. Carnation Pastel King</t>
  </si>
  <si>
    <t>CKCOTPKKG</t>
  </si>
  <si>
    <t>FABRIC: COTTON; POLYESTER FILL (270 GSM COMFORTER)</t>
  </si>
  <si>
    <t>675716979096</t>
  </si>
  <si>
    <t>Madison Park Ridge 6-Pc. FullQueen Duvet C Red FullQueen</t>
  </si>
  <si>
    <t>MP12-4672</t>
  </si>
  <si>
    <t>DUVET COVER/SHAM/PILLOW: POLYESTER; PILLOW FILL: POLYESTER</t>
  </si>
  <si>
    <t>814652024372</t>
  </si>
  <si>
    <t>Martha Stewart Collection Seed-Stitch Fleece King Blanke Soft Blue King</t>
  </si>
  <si>
    <t>MSSEDKBLSB</t>
  </si>
  <si>
    <t>MARTHA STEWART-MMG/SUNWIN-BLANKETS</t>
  </si>
  <si>
    <t>814652024389</t>
  </si>
  <si>
    <t>Martha Stewart Collection Seed-Stitch Fleece King Blanke Soft Grey King</t>
  </si>
  <si>
    <t>MSSEDKBLGR</t>
  </si>
  <si>
    <t>706254248594</t>
  </si>
  <si>
    <t>Hotel Collection Keystone King Bed Skirt Light Grey King</t>
  </si>
  <si>
    <t>KE20KBS790</t>
  </si>
  <si>
    <t>HOTEL BY CHARTER CLUB-EDI/CANBELIN</t>
  </si>
  <si>
    <t>608356472948</t>
  </si>
  <si>
    <t>Martha Stewart Collection 2-Pc. Knot Stripe Twin Comfort Blue Twin</t>
  </si>
  <si>
    <t>KNOTSTPTW</t>
  </si>
  <si>
    <t>MARTHA STEWART-EDI/ABHI-ASMI INTL</t>
  </si>
  <si>
    <t>COMFORTER: COTTON; POLYESTER FILL; SHAM: COTTON</t>
  </si>
  <si>
    <t>706254248549</t>
  </si>
  <si>
    <t>Hotel Collection Keystone European Sham Light GreyPumice European Sham</t>
  </si>
  <si>
    <t>KE15ES790</t>
  </si>
  <si>
    <t>706255766240</t>
  </si>
  <si>
    <t>Hotel Collection Onyx European Sham Onyx European Sham</t>
  </si>
  <si>
    <t>OX15ES790</t>
  </si>
  <si>
    <t>POLYESTER/RAYON</t>
  </si>
  <si>
    <t>734737543942</t>
  </si>
  <si>
    <t>Sunham Rest Cotton 450-Thread Count 4 Taupe King</t>
  </si>
  <si>
    <t>814652024341</t>
  </si>
  <si>
    <t>Martha Stewart Collection Seed-Stitch Fleece Queen Blank Soft Grey FullQueen</t>
  </si>
  <si>
    <t>MSSEDQBLGR</t>
  </si>
  <si>
    <t>814652024334</t>
  </si>
  <si>
    <t>Martha Stewart Collection Seed-Stitch Fleece Queen Blank Soft Blue FullQueen</t>
  </si>
  <si>
    <t>MSSEDQBLSB</t>
  </si>
  <si>
    <t>814652024310</t>
  </si>
  <si>
    <t>Martha Stewart Collection Seed-Stitch Fleece Queen Blank Beige FullQueen</t>
  </si>
  <si>
    <t>MSSEDQBLBG</t>
  </si>
  <si>
    <t>706258965596</t>
  </si>
  <si>
    <t>Hotel Collection Cotton Knit Throw White</t>
  </si>
  <si>
    <t>675716984120</t>
  </si>
  <si>
    <t>Woolrich Woolrich Cotton Flannel 4-Piec Tan Cars Queen</t>
  </si>
  <si>
    <t>WR20-2040</t>
  </si>
  <si>
    <t>COTTON FLANNEL</t>
  </si>
  <si>
    <t>675716620110</t>
  </si>
  <si>
    <t>Madison Park Liquid Cotton FullQueen Blank Seafoam FullQueen</t>
  </si>
  <si>
    <t>BL51N-0736</t>
  </si>
  <si>
    <t>47293470240</t>
  </si>
  <si>
    <t>Hookless Hookless Park Avenue Stripe 3- Silver 72X72</t>
  </si>
  <si>
    <t>222881480023HK7174</t>
  </si>
  <si>
    <t>SURE FIT HOME PRODUCTS</t>
  </si>
  <si>
    <t>CURTAIN: POLYESTER, LINER: PEVA</t>
  </si>
  <si>
    <t>83013063026</t>
  </si>
  <si>
    <t>Croscill Anessa European Sham Latte European Sham</t>
  </si>
  <si>
    <t>2A0-502C0-1436</t>
  </si>
  <si>
    <t>783048023575</t>
  </si>
  <si>
    <t>My World Laura Hart Kids Solid Turquois Navy And Grey TwinTwin XL</t>
  </si>
  <si>
    <t>CS2016NGTX-1500</t>
  </si>
  <si>
    <t>FACE IS 100% MICROFIBER POLYESTER WITH A REVERSE OF 100% MICROFIBER AND FILLED WITH POLYESTER FIBER FILLING.</t>
  </si>
  <si>
    <t>27399025292</t>
  </si>
  <si>
    <t>Vellux Vellux King Blanket Blue King</t>
  </si>
  <si>
    <t>AWKWB169849</t>
  </si>
  <si>
    <t>VELLUX/WESTPOINT HOME</t>
  </si>
  <si>
    <t>NYLON</t>
  </si>
  <si>
    <t>823443900214</t>
  </si>
  <si>
    <t>Kenneth Mink Kenneth Mink Platinum Rug Pad, Grey</t>
  </si>
  <si>
    <t>PLATINUMPAD9X12</t>
  </si>
  <si>
    <t>144X12X108</t>
  </si>
  <si>
    <t>AREA RUGS</t>
  </si>
  <si>
    <t>MINK RUG COMPANY (THE)</t>
  </si>
  <si>
    <t>FELT, RUBBER</t>
  </si>
  <si>
    <t>889919102148</t>
  </si>
  <si>
    <t>Bridgeport Home Bridgeport Home Passage Psg1 G Green</t>
  </si>
  <si>
    <t>MINK RUG CO (MCOM) THE LEASED</t>
  </si>
  <si>
    <t>POLYPROPYLENE</t>
  </si>
  <si>
    <t>636193961561</t>
  </si>
  <si>
    <t>Charter Club Damask Designs Windowpane Euro White European Sham</t>
  </si>
  <si>
    <t>10003662ER</t>
  </si>
  <si>
    <t>COTTON/OTHER FIBER</t>
  </si>
  <si>
    <t>722885478018</t>
  </si>
  <si>
    <t>Homewear Chevron Pick-Stitch 54 x 108 Navy 54x108</t>
  </si>
  <si>
    <t>75742-108PANEL</t>
  </si>
  <si>
    <t>108 1.5</t>
  </si>
  <si>
    <t>HOMEWEAR/SAM HEDAYA CORP</t>
  </si>
  <si>
    <t>732994477222</t>
  </si>
  <si>
    <t>Martha Stewart Collection Tufted Velvet Standard Sham Blue Standard Sham</t>
  </si>
  <si>
    <t>VTUFTBLST</t>
  </si>
  <si>
    <t>NYLON/VISCOSE; POLYESTER FILL</t>
  </si>
  <si>
    <t>706258584650</t>
  </si>
  <si>
    <t>Charter Club Brushed Cotton 300-Thread Coun Driftwood Tan Twin</t>
  </si>
  <si>
    <t>T300TWSDRF</t>
  </si>
  <si>
    <t>844353555301</t>
  </si>
  <si>
    <t>Rizzy Home Rizzy Home Solid 20 x 20 Pol Orange 20x20</t>
  </si>
  <si>
    <t>PILT03715OR002020</t>
  </si>
  <si>
    <t>679610782165</t>
  </si>
  <si>
    <t>Hallmart Collectibles Kaori 2-Pc. Twin Comforter Set Spice Twin</t>
  </si>
  <si>
    <t>FABRIC/FILLING: POLYESTER</t>
  </si>
  <si>
    <t>42694358869</t>
  </si>
  <si>
    <t>Charter Club Classic Bath Rug Hibiscus 21 x 34</t>
  </si>
  <si>
    <t>Y3222-730-021034</t>
  </si>
  <si>
    <t>PB-BTH-RUG/AC</t>
  </si>
  <si>
    <t>CHARTER CLUB-MMG</t>
  </si>
  <si>
    <t>NYLON; BACK: LATEX</t>
  </si>
  <si>
    <t>734737573048</t>
  </si>
  <si>
    <t>Silken Slumber Solid Champagne Eyemask Midnight Blue ONE SIZE</t>
  </si>
  <si>
    <t>19675EM</t>
  </si>
  <si>
    <t>OSFA REG</t>
  </si>
  <si>
    <t>ALL SILK</t>
  </si>
  <si>
    <t>679610786187</t>
  </si>
  <si>
    <t>Hallmart Collectibles 50 x 60 Knit Throw Beige 50x60</t>
  </si>
  <si>
    <t>ACRYLIC</t>
  </si>
  <si>
    <t>732994553001</t>
  </si>
  <si>
    <t>Martha Stewart Collection Cardinal Embroidered Cotton Ba White Combo</t>
  </si>
  <si>
    <t>86569054098</t>
  </si>
  <si>
    <t>Charter Club Cozy Plush Wrap Faux-Fur Throw Medium Beige 50x70</t>
  </si>
  <si>
    <t>CCPLSHWRPS</t>
  </si>
  <si>
    <t>CHARTER CLUB-EDI/JLA HOME</t>
  </si>
  <si>
    <t>SHELL: POLYESTER; FAUX-FUR TRIM: POLYESTER</t>
  </si>
  <si>
    <t>706256317441</t>
  </si>
  <si>
    <t>Martha Stewart Collection Martha Stewart Collection 300 Wintergreen King</t>
  </si>
  <si>
    <t>300KPC822GR</t>
  </si>
  <si>
    <t>300-THREAD COUNT COTTON SATEEN</t>
  </si>
  <si>
    <t>636206282508</t>
  </si>
  <si>
    <t>Martha Stewart Collection Martha Stewart Collection 300 Lavender King</t>
  </si>
  <si>
    <t>300KPC822PU</t>
  </si>
  <si>
    <t>846339053979</t>
  </si>
  <si>
    <t>J Queen New York Queen Street Morocco 42 x 40 Natural 42x40</t>
  </si>
  <si>
    <t>1894048WTRSW</t>
  </si>
  <si>
    <t>746885382939</t>
  </si>
  <si>
    <t>Miller Curtains Audrey 50 x 84 Sheer Print C PearlSilver Multi 50x84</t>
  </si>
  <si>
    <t>MC00X63852984</t>
  </si>
  <si>
    <t>NATCO/WINDHAM WEAVE/WINDHAM TRADING</t>
  </si>
  <si>
    <t>746885355216</t>
  </si>
  <si>
    <t>Miller Curtains Window Treatments, Preston Rod Taupe 51x84</t>
  </si>
  <si>
    <t>WC70344407684</t>
  </si>
  <si>
    <t>746885369527</t>
  </si>
  <si>
    <t>Miller Curtains Miller Curtains Angelica Volie White 59x95</t>
  </si>
  <si>
    <t>WC70348100195</t>
  </si>
  <si>
    <t>52501878305</t>
  </si>
  <si>
    <t>Cobra Chevron Cotton 27 x 54 Bath Frost</t>
  </si>
  <si>
    <t>732996565088</t>
  </si>
  <si>
    <t>Martha Stewart Collection Silver Hand Towel White Combo No Size</t>
  </si>
  <si>
    <t>746885369664</t>
  </si>
  <si>
    <t>Miller Curtains Miller Curtains Angelica Volie Ivory 59x84</t>
  </si>
  <si>
    <t>WC70348122684</t>
  </si>
  <si>
    <t>746885369756</t>
  </si>
  <si>
    <t>Miller Curtains Miller Curtains Angelica Volie Celadon 59x63</t>
  </si>
  <si>
    <t>WC70348152263</t>
  </si>
  <si>
    <t>636193688468</t>
  </si>
  <si>
    <t>Martha Stewart Collection Spa Hand Towel Blush</t>
  </si>
  <si>
    <t>MSPLSHHBLS</t>
  </si>
  <si>
    <t>646760109982</t>
  </si>
  <si>
    <t>French Connection Cotton Zig-Zag Textured Hand T Medium Blue No Size</t>
  </si>
  <si>
    <t>MAT000067</t>
  </si>
  <si>
    <t>CREATIVE HOME IDEAS/YMF CARPET INC</t>
  </si>
  <si>
    <t>636193690157</t>
  </si>
  <si>
    <t>Martha Stewart Collection Spa Washcloth Blush</t>
  </si>
  <si>
    <t>MSPLSHWBLS</t>
  </si>
  <si>
    <t>86569140203</t>
  </si>
  <si>
    <t>Urban Habitat Cotton Rhinestone Border Washc Grey</t>
  </si>
  <si>
    <t>MCH73-1023</t>
  </si>
  <si>
    <t>706254465083</t>
  </si>
  <si>
    <t>Hotel Collection Ultimate MicroCotton 13 x 13 Ruby Washcloths</t>
  </si>
  <si>
    <t>HTLMCWRBY</t>
  </si>
  <si>
    <t>79465025446</t>
  </si>
  <si>
    <t>IZOD 16 x 26 Hand Towel Navy</t>
  </si>
  <si>
    <t>GH32T160695</t>
  </si>
  <si>
    <t>WESTPOINT HOME INC</t>
  </si>
  <si>
    <t>79465025408</t>
  </si>
  <si>
    <t>IZOD 16 x 26 Hand Towel Night Gray</t>
  </si>
  <si>
    <t>783048014559</t>
  </si>
  <si>
    <t>OG MIAMI SUN KG 3PC BASIC</t>
  </si>
  <si>
    <t>CS1892KG-1500</t>
  </si>
  <si>
    <t>783048014542</t>
  </si>
  <si>
    <t>OG MIAMI SUN FQ 3PC BASIC</t>
  </si>
  <si>
    <t>CS1892FQ-1500</t>
  </si>
  <si>
    <t>400820224547</t>
  </si>
  <si>
    <t>COSMETICS/FRAGRENCES GENERIC</t>
  </si>
  <si>
    <t>38992940806</t>
  </si>
  <si>
    <t>Waterford CLOSEOUT Waterford Lynne Reve Blueivory King</t>
  </si>
  <si>
    <t>CSLYNNW43104KG</t>
  </si>
  <si>
    <t>WATERFORD/W-C HOME FASHIONS LLC</t>
  </si>
  <si>
    <t>800298673227</t>
  </si>
  <si>
    <t>Donna Karan Donna Karan Collection Gilded Gold King</t>
  </si>
  <si>
    <t>GLD103169DVJ</t>
  </si>
  <si>
    <t>RAYON/POLYESTER BLEND</t>
  </si>
  <si>
    <t>750105134420</t>
  </si>
  <si>
    <t>Charter Club European White Down Heavyweigh White FullQueen</t>
  </si>
  <si>
    <t>FEDC0830WQ</t>
  </si>
  <si>
    <t>732996047881</t>
  </si>
  <si>
    <t>Hotel Collection Metallic Stone FullQueen Comf Gold FullQueen</t>
  </si>
  <si>
    <t>100051651FQ</t>
  </si>
  <si>
    <t>POLYESTER / RAYON; COTTON BACK</t>
  </si>
  <si>
    <t>848336098038</t>
  </si>
  <si>
    <t>Levtex Levtex Home Clementine Spring Coral King</t>
  </si>
  <si>
    <t>L79403LKS</t>
  </si>
  <si>
    <t>732994628358</t>
  </si>
  <si>
    <t>Charter Club Solid Cotton 700-Thread Count Overcast Grey California King</t>
  </si>
  <si>
    <t>100029145CK</t>
  </si>
  <si>
    <t>706258596493</t>
  </si>
  <si>
    <t>Charter Club Ultra Fine Cotton 800-Thread C White King</t>
  </si>
  <si>
    <t>T800KGSWHT</t>
  </si>
  <si>
    <t>883893376274</t>
  </si>
  <si>
    <t>Nautica CLOSEOUT Nautica Dover Twin C Multi Blue Twin</t>
  </si>
  <si>
    <t>COTTON/POLYESTER FILL</t>
  </si>
  <si>
    <t>840008369972</t>
  </si>
  <si>
    <t>Dr. Oz Good Life Dr. Oz Good Life Safe in Bed W White King</t>
  </si>
  <si>
    <t>OZGL40KKWP</t>
  </si>
  <si>
    <t>46249627950</t>
  </si>
  <si>
    <t>Tommy Hilfiger Ditch Plains FullQueen Comfo Multi FullQueen</t>
  </si>
  <si>
    <t>17T0397-FQ-M1-D1</t>
  </si>
  <si>
    <t>636202611654</t>
  </si>
  <si>
    <t>Hotel Collection Hotel Collection 525 Thread Co Ivory Queen</t>
  </si>
  <si>
    <t>5I17QSS790</t>
  </si>
  <si>
    <t>732998284260</t>
  </si>
  <si>
    <t>Charter Club Damask Supima Cotton 550-Threa Soft Poppy Queen</t>
  </si>
  <si>
    <t>DLLSLQNSPPY</t>
  </si>
  <si>
    <t>706258049524</t>
  </si>
  <si>
    <t>Charter Club Damask Supima Cotton 550-Threa Parchment Beige Full</t>
  </si>
  <si>
    <t>DLLSLFLSPAR</t>
  </si>
  <si>
    <t>857762007828</t>
  </si>
  <si>
    <t>Roselli Trading Company Roselli Trading Company Housto White No Size</t>
  </si>
  <si>
    <t>HWU-07</t>
  </si>
  <si>
    <t>ROYAL HERITAGE HOME/ROSELLI TRADING</t>
  </si>
  <si>
    <t>783048021120</t>
  </si>
  <si>
    <t>Truly Soft Truly Soft Pleated White Full White FullQueen</t>
  </si>
  <si>
    <t>CS1969WTFQ-1500</t>
  </si>
  <si>
    <t>COMFORTER AND SHAM FACE AND BACK CLOTH IS 100% BRUSHED MICROFIBER POLYESTER WITH POLYESTER FILLING.</t>
  </si>
  <si>
    <t>783048037312</t>
  </si>
  <si>
    <t>Truly Soft Truly Soft Everyday Hotel Bord White And Navy FullQueen</t>
  </si>
  <si>
    <t>DCS2182WNFQ7-00</t>
  </si>
  <si>
    <t>628961002385</t>
  </si>
  <si>
    <t>Kensington Garden Dover King Cotton Rich Cool Co Grey King</t>
  </si>
  <si>
    <t>JET9821</t>
  </si>
  <si>
    <t>86569099686</t>
  </si>
  <si>
    <t>Hotel Collection Egyptian Cotton King Blanket Mercury Twin</t>
  </si>
  <si>
    <t>10028634TW</t>
  </si>
  <si>
    <t>HOTEL COLLECTION-EDI/JLA HOME</t>
  </si>
  <si>
    <t>734737634909</t>
  </si>
  <si>
    <t>Sunham T500 CVC Printed King Sheet Se White King</t>
  </si>
  <si>
    <t>706257404324</t>
  </si>
  <si>
    <t>Hotel Collection Cotton 680 Thread Count Queen White Queen</t>
  </si>
  <si>
    <t>68H20QNFT</t>
  </si>
  <si>
    <t>734737581494</t>
  </si>
  <si>
    <t>Sunham Irene 8-Pc. Reversible Queen C Blush Queen</t>
  </si>
  <si>
    <t>732995895520</t>
  </si>
  <si>
    <t>Hotel Collection Metallic Stone Quilted Europea Gold European Sham</t>
  </si>
  <si>
    <t>100041577ER</t>
  </si>
  <si>
    <t>POLYESTER / RAYON</t>
  </si>
  <si>
    <t>732995895469</t>
  </si>
  <si>
    <t>Hotel Collection Metallic Stone FullQueen Beds Gold Queen</t>
  </si>
  <si>
    <t>100041574QN</t>
  </si>
  <si>
    <t>848336072786</t>
  </si>
  <si>
    <t>Levtex Levtex Home Clementine Embroid Multi 18x18</t>
  </si>
  <si>
    <t>L79401P-A</t>
  </si>
  <si>
    <t>810031411276</t>
  </si>
  <si>
    <t>Battilo Battilo Decorative Over Soft B Yellow NO SIZE</t>
  </si>
  <si>
    <t>BTL15031-YELLOW</t>
  </si>
  <si>
    <t>726895578249</t>
  </si>
  <si>
    <t>Martha Stewart Collection Solid Open Stock 400-Thread Co Mint Mint Green King Fitted</t>
  </si>
  <si>
    <t>732997233474</t>
  </si>
  <si>
    <t>Hotel Collection Hotel Collection Basic Grid Qu White European Sham</t>
  </si>
  <si>
    <t>100051722ER</t>
  </si>
  <si>
    <t>734737552395</t>
  </si>
  <si>
    <t>Sunham Colesville 3-Pc. Comforter Set Blush King</t>
  </si>
  <si>
    <t>18953322V</t>
  </si>
  <si>
    <t>783048064653</t>
  </si>
  <si>
    <t>Pem America Paris 2-Pc. Twin Comforter Min Blush Twin</t>
  </si>
  <si>
    <t>CS2739TW-1540</t>
  </si>
  <si>
    <t>FABRIC: POLYESTER</t>
  </si>
  <si>
    <t>732995895438</t>
  </si>
  <si>
    <t>Hotel Collection Metallic Stone European Sham Gold European Sham</t>
  </si>
  <si>
    <t>100038521ER</t>
  </si>
  <si>
    <t>608356694678</t>
  </si>
  <si>
    <t>Charter Club Elite Hygro Cotton Bath Sheet White Bath Sheets</t>
  </si>
  <si>
    <t>CCELITES</t>
  </si>
  <si>
    <t>733001872047</t>
  </si>
  <si>
    <t>Charter Club Wellness Cotton 27 x 50 Bath Clear Blue Bath Towels</t>
  </si>
  <si>
    <t>732994994705</t>
  </si>
  <si>
    <t>Martha Stewart Collection Cotton Dot Spa Fashion Bath To Mourning Dove Bath Towels</t>
  </si>
  <si>
    <t>MSNDTB</t>
  </si>
  <si>
    <t>735732247361</t>
  </si>
  <si>
    <t>Victoria Classics Fireside Sherpa Throw Navy 50x60</t>
  </si>
  <si>
    <t>SP4-THR-5060-MC-NAVY</t>
  </si>
  <si>
    <t>VICTORIA/TEXTILES FROM EUROPE</t>
  </si>
  <si>
    <t>732999788217</t>
  </si>
  <si>
    <t>Charter Club Egyptian Cotton 13 x 13 Wash Pale Hydrangea Washcloths</t>
  </si>
  <si>
    <t>733001229926</t>
  </si>
  <si>
    <t>Martha Stewart Collection LAST ACT Feather Velvet Full Yellow FullQueen</t>
  </si>
  <si>
    <t>100104025FQ</t>
  </si>
  <si>
    <t>783048109415</t>
  </si>
  <si>
    <t>Truly Soft Everyday 3D Puff FullQueen Qu Grey FullQueen</t>
  </si>
  <si>
    <t>QS3243GYFQ-2600</t>
  </si>
  <si>
    <t>190945079206</t>
  </si>
  <si>
    <t>Levtex Sophia 14 x 18 Appliqued Flo Coral 14 x 18</t>
  </si>
  <si>
    <t>L80800LP-D</t>
  </si>
  <si>
    <t>732999788279</t>
  </si>
  <si>
    <t>Charter Club Egyptian Cotton Cableweave 30 Sea Coral Bath Towels</t>
  </si>
  <si>
    <t>96675810624</t>
  </si>
  <si>
    <t>SensorGel 4 Gel Swirl Memory Foam Mattr Blue Swirl Queen</t>
  </si>
  <si>
    <t>NO COVER</t>
  </si>
  <si>
    <t>735837574263</t>
  </si>
  <si>
    <t>Hotel Collection European White Goose Down Firm White Standard</t>
  </si>
  <si>
    <t>HWGDJF14</t>
  </si>
  <si>
    <t>679610822410</t>
  </si>
  <si>
    <t>Hallmart Collectibles Dorine Gray 14 PC Queen Comfor Gray Queen</t>
  </si>
  <si>
    <t>788904003890</t>
  </si>
  <si>
    <t>Elle Decor Light Warmth White Down Fiber White FullQueen</t>
  </si>
  <si>
    <t>EL008202</t>
  </si>
  <si>
    <t>96675611337</t>
  </si>
  <si>
    <t>SensorGel Sensor Gel SlumberMax Hybrid 4 White Queen</t>
  </si>
  <si>
    <t>883893547476</t>
  </si>
  <si>
    <t>Laura Ashley Natalie Sage Duvet Set, King Green King</t>
  </si>
  <si>
    <t>USHSFN1065082</t>
  </si>
  <si>
    <t>840008326449</t>
  </si>
  <si>
    <t>Linenspa Signature Collection 2Zoned Blue King</t>
  </si>
  <si>
    <t>LSSC20KK30ZNGT</t>
  </si>
  <si>
    <t>MEMORY FOAM</t>
  </si>
  <si>
    <t>733001891802</t>
  </si>
  <si>
    <t>Martha Stewart Collection Floral Embroidered Geo FullQu White FullQueen</t>
  </si>
  <si>
    <t>100115800FQ</t>
  </si>
  <si>
    <t>706258089438</t>
  </si>
  <si>
    <t>Charter Club Damask Supima Cotton 550-Threa White California King</t>
  </si>
  <si>
    <t>DLLSLCKSWHT</t>
  </si>
  <si>
    <t>706258090762</t>
  </si>
  <si>
    <t>Charter Club Damask Stripe Supima Cotton 55 Taupe King</t>
  </si>
  <si>
    <t>DLLSTKGSTAU</t>
  </si>
  <si>
    <t>733001947882</t>
  </si>
  <si>
    <t>Martha Stewart Collection Floral Matelasse 100 Cotton Q White Full</t>
  </si>
  <si>
    <t>100115788QN</t>
  </si>
  <si>
    <t>732998869641</t>
  </si>
  <si>
    <t>Martha Stewart Collection Engineered Plaid Reversible Fu Blue FullQueen</t>
  </si>
  <si>
    <t>100082695FQ</t>
  </si>
  <si>
    <t>706258050810</t>
  </si>
  <si>
    <t>Charter Club Damask Stripe Supima Cotton 55 Glacier Light Green Queen</t>
  </si>
  <si>
    <t>DLLSTQNSGLA</t>
  </si>
  <si>
    <t>813811012700</t>
  </si>
  <si>
    <t>Comfort Revolution Cool Comforts Hydraluxe Gel St Blue Standard</t>
  </si>
  <si>
    <t>198-0A</t>
  </si>
  <si>
    <t>COMFORT REVOLUTION LLC</t>
  </si>
  <si>
    <t>OUTER COVER: POLYESTER/SPANDEX; INNER COVER: POLYESTER; INSERT: HYDRALUXE GEL/MEMORY FOAM</t>
  </si>
  <si>
    <t>751379505954</t>
  </si>
  <si>
    <t>Pillow Perfect Fresco 11.5 x 18.5 Outdoor D Green No Size</t>
  </si>
  <si>
    <t>T-SPUN POLYESTER</t>
  </si>
  <si>
    <t>735837086346</t>
  </si>
  <si>
    <t>Hotel Collection Step Up Down-Alternative Firm- White King</t>
  </si>
  <si>
    <t>HDAFK907</t>
  </si>
  <si>
    <t>SHELL: 100% COTTON WOVEN JACQUARD/POLYESTER; FILL: DOWN-ALTERNATIVE FIBER</t>
  </si>
  <si>
    <t>879074001745</t>
  </si>
  <si>
    <t>Microdry MICRODRY Charcoal-Infused 2- Chocolate</t>
  </si>
  <si>
    <t>SFTLXSE1</t>
  </si>
  <si>
    <t>MINDS INSYNC INC</t>
  </si>
  <si>
    <t>840008370527</t>
  </si>
  <si>
    <t>Dr. Oz Good Life Dr. Oz Good Life Say Goodnight White Standard</t>
  </si>
  <si>
    <t>OZGLSSMPVGB</t>
  </si>
  <si>
    <t>26865854107</t>
  </si>
  <si>
    <t>Elrene Elrene All Seasons Faux Silk 5 Silver 52x95</t>
  </si>
  <si>
    <t>810026173462</t>
  </si>
  <si>
    <t>Cheer Collection Cheer Collection Standard Pill White 24x24</t>
  </si>
  <si>
    <t>CC-ADPL2PK-24X24</t>
  </si>
  <si>
    <t>706255403640</t>
  </si>
  <si>
    <t>Martha Stewart Collection Martha Stewart Collection Piqu Vanilla King</t>
  </si>
  <si>
    <t>SPQKBSV822</t>
  </si>
  <si>
    <t>MARTHA STEWART-EDI/PAC-FUNG FEATHER</t>
  </si>
  <si>
    <t>840008370503</t>
  </si>
  <si>
    <t>Dr. Oz Good Life Dr. Oz Good Life Stay the Nigh White Standard</t>
  </si>
  <si>
    <t>OZGLSSHFSD</t>
  </si>
  <si>
    <t>842941140649</t>
  </si>
  <si>
    <t>Tribeca Living Tribeca Living Super Soft Soli Deep Red Queen</t>
  </si>
  <si>
    <t>MF110DPSSQUDR</t>
  </si>
  <si>
    <t>788904002107</t>
  </si>
  <si>
    <t>Blue Ridge Blue Ridge Reversible Down Alt Navylight Blue FullQueen</t>
  </si>
  <si>
    <t>POLYESTER MICROFIBER; POLYESTER FILL</t>
  </si>
  <si>
    <t>675716251451</t>
  </si>
  <si>
    <t>Harbor House Chelsea European Sham Ivory European Sham</t>
  </si>
  <si>
    <t>HH11-496</t>
  </si>
  <si>
    <t>HARBOR HOUSE/JLA HOME/E &amp; E CO LTD</t>
  </si>
  <si>
    <t>FABRIC: COTTON THREAD COUNT: 210; LINING: COTTON THREAD COUNT: 130; FILL: POLYESTER</t>
  </si>
  <si>
    <t>732995311693</t>
  </si>
  <si>
    <t>Charter Club Damask Designs Embroidered 18 Grey 18x18</t>
  </si>
  <si>
    <t>91116725505</t>
  </si>
  <si>
    <t>Sanders Holiday Microfiber 5 Piece Que Holly Berry Queen</t>
  </si>
  <si>
    <t>HDYSS1Q</t>
  </si>
  <si>
    <t>733001925897</t>
  </si>
  <si>
    <t>Charter Club Continuous Cool Soft Standard White Standard</t>
  </si>
  <si>
    <t>100121786SQ</t>
  </si>
  <si>
    <t>733001891833</t>
  </si>
  <si>
    <t>Martha Stewart Collection Floral Embroidered Geo Standar White Standard Sham</t>
  </si>
  <si>
    <t>100115800ST</t>
  </si>
  <si>
    <t>732998869672</t>
  </si>
  <si>
    <t>Martha Stewart Collection Engineered Plaid Reversible St Blue Standard Sham</t>
  </si>
  <si>
    <t>100082695ST</t>
  </si>
  <si>
    <t>46249648108</t>
  </si>
  <si>
    <t>Tommy Hilfiger Modern American Double Stripe Navyredwht Bath Towels</t>
  </si>
  <si>
    <t>27T0468-BT-P1-D1</t>
  </si>
  <si>
    <t>746885344432</t>
  </si>
  <si>
    <t>Miller Curtains Window Treatments, Preston Rod White 51x63</t>
  </si>
  <si>
    <t>WC70344400163</t>
  </si>
  <si>
    <t>706254463287</t>
  </si>
  <si>
    <t>Hotel Collection Ultimate MicroCotton 16 x 30 Oat Hand Towels</t>
  </si>
  <si>
    <t>HTLMCHOAT</t>
  </si>
  <si>
    <t>734737671843</t>
  </si>
  <si>
    <t>Sunham White Garden 14-Pc. Queen Comf Milk Queen</t>
  </si>
  <si>
    <t>733002007479</t>
  </si>
  <si>
    <t>Hotel Collection Palmette FullQueen Duvet, Cre Cobalt FullQueen</t>
  </si>
  <si>
    <t>100113995FQ</t>
  </si>
  <si>
    <t>788904005399</t>
  </si>
  <si>
    <t>Martha Stewart Martha Stewart Feather Down Pi White Jumbo Size</t>
  </si>
  <si>
    <t>MS201802</t>
  </si>
  <si>
    <t>733002395538</t>
  </si>
  <si>
    <t>Charter Club Elite Cotton Tri-Stripe 16 x Lemon Citr Hand Towels</t>
  </si>
  <si>
    <t>DARKYELLOW</t>
  </si>
  <si>
    <t>814874020985</t>
  </si>
  <si>
    <t>Bedgear Hyper-Cotton Sheet Set Gray California King</t>
  </si>
  <si>
    <t>BGS21ASFD</t>
  </si>
  <si>
    <t>BEDGEAR LLC</t>
  </si>
  <si>
    <t>COTTON/RAYON; HEM:POLYESTER/SPANDEX</t>
  </si>
  <si>
    <t>732998964483</t>
  </si>
  <si>
    <t>Hotel Collection Hotel Collection Olympia King White King</t>
  </si>
  <si>
    <t>100091162KG</t>
  </si>
  <si>
    <t>732997906446</t>
  </si>
  <si>
    <t>100070643KG</t>
  </si>
  <si>
    <t>FRONT: COTTON/POLYESTER BLEND, BACK: 100% COTTON, FILL: 100% POLYESTER</t>
  </si>
  <si>
    <t>732998330387</t>
  </si>
  <si>
    <t>Hotel Collection Hotel Collection Artisan Full White FullQueen</t>
  </si>
  <si>
    <t>100090054FQ</t>
  </si>
  <si>
    <t>FRONT: POLYESTER/COTTON BLEND, BACK: 100% COTTON, FILL: 100% POLYESTER</t>
  </si>
  <si>
    <t>733001923206</t>
  </si>
  <si>
    <t>Hotel Collection Burnish Bronze FullQueen Comf Bronze FullQueen</t>
  </si>
  <si>
    <t>100115764FQ</t>
  </si>
  <si>
    <t>636206070501</t>
  </si>
  <si>
    <t>Hotel Collection Dimensional FullQueen Duvet C Blue FullQueen</t>
  </si>
  <si>
    <t>100041067FQ</t>
  </si>
  <si>
    <t>726895380071</t>
  </si>
  <si>
    <t>Hotel Collection Plume FullQueen Duvet Cover White FullQueen</t>
  </si>
  <si>
    <t>1001515FQ</t>
  </si>
  <si>
    <t>193842113677</t>
  </si>
  <si>
    <t>J Queen New York J Queen New York Delilah 84 W Indigo 84-89</t>
  </si>
  <si>
    <t>261806584PR</t>
  </si>
  <si>
    <t>83/84 DBL</t>
  </si>
  <si>
    <t>733001229940</t>
  </si>
  <si>
    <t>Martha Stewart Collection LAST ACT Feather Velvet King Blue KingCalifornia King</t>
  </si>
  <si>
    <t>100104025KG</t>
  </si>
  <si>
    <t>783048085658</t>
  </si>
  <si>
    <t>Christian Siriano New York Christian Siriano Georgia Rouc Blush FullQueen</t>
  </si>
  <si>
    <t>CS2982BSFQ-1500</t>
  </si>
  <si>
    <t>CHRISTIAN SIRIANO HOME/PEM AMERICA</t>
  </si>
  <si>
    <t>706258090786</t>
  </si>
  <si>
    <t>Charter Club Damask Stripe Supima Cotton 55 Glacier Light Green King</t>
  </si>
  <si>
    <t>DLLSTKGSGLA</t>
  </si>
  <si>
    <t>706258089087</t>
  </si>
  <si>
    <t>Charter Club Damask Stripe Supima Cotton 55 Mulberry Dark Purple King</t>
  </si>
  <si>
    <t>DLDSTKGSMLB</t>
  </si>
  <si>
    <t>840970151261</t>
  </si>
  <si>
    <t>Cathay Home Inc. Floral Pintuck KingCal King C Rose Blush</t>
  </si>
  <si>
    <t>918900-K-ROS</t>
  </si>
  <si>
    <t>812091030411</t>
  </si>
  <si>
    <t>Tadpoles Sleeping Partners Crochet Bord Gray FullQueen</t>
  </si>
  <si>
    <t>3PCMFCROGRYQ</t>
  </si>
  <si>
    <t>86569194374</t>
  </si>
  <si>
    <t>Madison Park Signature Solid 8-Pc. Towel Se Beige No Size</t>
  </si>
  <si>
    <t>MPS73-424</t>
  </si>
  <si>
    <t>100% COTTON; 800GSM</t>
  </si>
  <si>
    <t>706257404591</t>
  </si>
  <si>
    <t>Hotel Collection Cotton 680 Thread Count Extra- Ivory Queen</t>
  </si>
  <si>
    <t>68I26QXFL</t>
  </si>
  <si>
    <t>706257404386</t>
  </si>
  <si>
    <t>Hotel Collection Cotton 680 Thread Count Extra- White Queen</t>
  </si>
  <si>
    <t>68H26QXFL</t>
  </si>
  <si>
    <t>788904802059</t>
  </si>
  <si>
    <t>Serta SummerWinter White Goose Feat White King</t>
  </si>
  <si>
    <t>SE200511K</t>
  </si>
  <si>
    <t>732994215725</t>
  </si>
  <si>
    <t>Charter Club Damask Designs Paisley Cotton Spice FullQueen</t>
  </si>
  <si>
    <t>100022743FQ</t>
  </si>
  <si>
    <t>FABRIC: 100% PIMA COTTON</t>
  </si>
  <si>
    <t>26865995398</t>
  </si>
  <si>
    <t>Elrene Cordelia Adjustable 86-120 C Nickel 86-120in</t>
  </si>
  <si>
    <t>24283PON</t>
  </si>
  <si>
    <t>844928000755</t>
  </si>
  <si>
    <t>Protect-A-Bed Basic Waterproof Fitted Sheet White King</t>
  </si>
  <si>
    <t>BAS0142</t>
  </si>
  <si>
    <t>PROTECT-A-BED/JAB DISTRIBUTORS LLC</t>
  </si>
  <si>
    <t>MAIN PANEL: POLYESTER; LINING: POLYURETHANE LAMINATE; SKIRT: POLYESTER, EXCLUSIVE OF ELASTIC</t>
  </si>
  <si>
    <t>191790026612</t>
  </si>
  <si>
    <t>AQ Textiles Optimum Performance 625-Thread Silver Queen</t>
  </si>
  <si>
    <t>23102103063AQT</t>
  </si>
  <si>
    <t>636206070549</t>
  </si>
  <si>
    <t>Hotel Collection Dimensional Standard Sham Blue Standard Sham</t>
  </si>
  <si>
    <t>100041069SD</t>
  </si>
  <si>
    <t>191790041004</t>
  </si>
  <si>
    <t>AQ Textiles Camden 1250 thread count 4 pc Silver Queen</t>
  </si>
  <si>
    <t>25542103063AQT</t>
  </si>
  <si>
    <t>810031411337</t>
  </si>
  <si>
    <t>Happycare Textiles Happycare Textiles Soft Knitte Gray NO SIZE</t>
  </si>
  <si>
    <t>BTL15032</t>
  </si>
  <si>
    <t>635983499499</t>
  </si>
  <si>
    <t>Ella Jayne Overstuffed Plush MediumFirm White King</t>
  </si>
  <si>
    <t>BMI10321LK</t>
  </si>
  <si>
    <t>SHELL: 220 THREAD COUNT POLYESTER MICROFIBER, FILL: 100% DOWN ALTERNATIVE FINE GEL FIBERS</t>
  </si>
  <si>
    <t>734737615526</t>
  </si>
  <si>
    <t>Sunham Haven Cotton 350-Thread Count Dusty Rose Printed King</t>
  </si>
  <si>
    <t>732998797166</t>
  </si>
  <si>
    <t>Charter Club Damask Stripe Cotton 550-Threa White King Fitted</t>
  </si>
  <si>
    <t>100088731KG</t>
  </si>
  <si>
    <t>31374564126</t>
  </si>
  <si>
    <t>Martha Stewart Collection Essentials 7-Zone Full Memory White Full</t>
  </si>
  <si>
    <t>10012212FL</t>
  </si>
  <si>
    <t>ESSENTIALS BY MARTHA-EDI/CARPENTER</t>
  </si>
  <si>
    <t>96675701144</t>
  </si>
  <si>
    <t>SensorGel Cold Touch Contour Gel Infused White Standard</t>
  </si>
  <si>
    <t>190714335335</t>
  </si>
  <si>
    <t>Lacourte Larkin 20 x 20 Decorative Pi Navy 20x20</t>
  </si>
  <si>
    <t>1125420NAVY20X20</t>
  </si>
  <si>
    <t>32281601379</t>
  </si>
  <si>
    <t>Disney Princess Power Beach Towel Multi</t>
  </si>
  <si>
    <t>JF60137</t>
  </si>
  <si>
    <t>DISNEY/JAY FRANCO &amp; SONS</t>
  </si>
  <si>
    <t>734737581357</t>
  </si>
  <si>
    <t>Sunham Cheetah 3-Pc. FullQueen Comfo Multi FullQueen</t>
  </si>
  <si>
    <t>706257399842</t>
  </si>
  <si>
    <t>Hotel Collection Cotton 680 Thread Count Set of Sand Standard</t>
  </si>
  <si>
    <t>68D24STPC</t>
  </si>
  <si>
    <t>783048141385</t>
  </si>
  <si>
    <t>Pem America Cherry Blossom 3-Pc. Reversibl Red King</t>
  </si>
  <si>
    <t>CS3929KG-1540</t>
  </si>
  <si>
    <t>783048064677</t>
  </si>
  <si>
    <t>Pem America Paris 3-Pc. King Comforter Min Blush King</t>
  </si>
  <si>
    <t>CS2739KG-1540</t>
  </si>
  <si>
    <t>735732463068</t>
  </si>
  <si>
    <t>Seventh Studio Knitted Chevron Rug Blue No Size</t>
  </si>
  <si>
    <t>KNI-ARU-2745-MA-BLUE</t>
  </si>
  <si>
    <t>814760023793</t>
  </si>
  <si>
    <t>ienjoy Home Home Collection Premium Pleate Gray Queen</t>
  </si>
  <si>
    <t>BDSKSLDQIENJ</t>
  </si>
  <si>
    <t>21864316816</t>
  </si>
  <si>
    <t>Avanti Braided Medallion Lotion Pump Avanti Braided Medallion Lotio</t>
  </si>
  <si>
    <t>11166DMUL</t>
  </si>
  <si>
    <t>706255871654</t>
  </si>
  <si>
    <t>Martha Stewart Collection Quick Dry Reversible Bath Towe Biscay Blue Bath Towels</t>
  </si>
  <si>
    <t>MSQDRBBS</t>
  </si>
  <si>
    <t>191790040960</t>
  </si>
  <si>
    <t>AQ Textiles Camden 1250 thread count 4 pc Black Queen</t>
  </si>
  <si>
    <t>25542103010AQT</t>
  </si>
  <si>
    <t>86569373120</t>
  </si>
  <si>
    <t>MSDS MP WP F BASIC</t>
  </si>
  <si>
    <t>SLPSC2F08</t>
  </si>
  <si>
    <t>MARTHA STEWART-E&amp;E CO/JLA HOME</t>
  </si>
  <si>
    <t>810031412082</t>
  </si>
  <si>
    <t>Happycare Textiles Snoogie Boo Ultra-soft Baby Fa Light Brown One Size Fits All</t>
  </si>
  <si>
    <t>SN7905-MONKEY</t>
  </si>
  <si>
    <t>91116720548</t>
  </si>
  <si>
    <t>Sanders 3 Piece Full Size Printed Micr Geo Blue Full</t>
  </si>
  <si>
    <t>PRBSSF</t>
  </si>
  <si>
    <t>810549023732</t>
  </si>
  <si>
    <t>Reversifi Reversifi Center Pleat Bed Ski Cranberry Queen</t>
  </si>
  <si>
    <t>8052445139472</t>
  </si>
  <si>
    <t>HOTEL CLASSIC BASIC</t>
  </si>
  <si>
    <t>3FA7017E2443290CBB01</t>
  </si>
  <si>
    <t>SPECIAL BED-B</t>
  </si>
  <si>
    <t>EDMUND FRETTE/FRETTE INC CONSIGN</t>
  </si>
  <si>
    <t>728455913170</t>
  </si>
  <si>
    <t>M075 GRACE STANDARD</t>
  </si>
  <si>
    <t>M075SSHAWH</t>
  </si>
  <si>
    <t>GIZA EGYPTIAN COTTON</t>
  </si>
  <si>
    <t>42075593162</t>
  </si>
  <si>
    <t>Michael Aram Enchanted King Sheet Set Ivory King</t>
  </si>
  <si>
    <t>2-0153S4IV</t>
  </si>
  <si>
    <t>RFJUMBOFIT</t>
  </si>
  <si>
    <t>728455905106</t>
  </si>
  <si>
    <t>CHATHAM KING BLANKET</t>
  </si>
  <si>
    <t>M308KBLASI</t>
  </si>
  <si>
    <t>732994528672</t>
  </si>
  <si>
    <t>Hudson Park Hudson Park Italian Percale Fu White</t>
  </si>
  <si>
    <t>HUDSON PARK-EDI/RWI/ITALIAN PERCALE</t>
  </si>
  <si>
    <t>732996465203</t>
  </si>
  <si>
    <t>100069700FQ</t>
  </si>
  <si>
    <t>732996769998</t>
  </si>
  <si>
    <t>AURORA FQ DVT</t>
  </si>
  <si>
    <t>100057941FQ</t>
  </si>
  <si>
    <t>HUDSON PARK COLLECTION-BLM</t>
  </si>
  <si>
    <t>FRONT: 46% POLYESTER/42% VISCOSE/12% COTTON; REVERSE: 100% COTTON</t>
  </si>
  <si>
    <t>732998345787</t>
  </si>
  <si>
    <t>Hotel Collection Hotel Collection Primativa Kin Silver King</t>
  </si>
  <si>
    <t>100078110KG</t>
  </si>
  <si>
    <t>FRONT: POLYESTER/COTTON BLEND, BACK: 100% COTTON</t>
  </si>
  <si>
    <t>636193418690</t>
  </si>
  <si>
    <t>680TC K DVT PWT BASIC</t>
  </si>
  <si>
    <t>PWT03KD790</t>
  </si>
  <si>
    <t>HUDSON PARK-EDI/RWI/VTX</t>
  </si>
  <si>
    <t>679610808360</t>
  </si>
  <si>
    <t>Hallmart Collectibles Hedron 14-Pc. Queen Comforter Gold Queen</t>
  </si>
  <si>
    <t>FIBER: 100% POLYESTER EXCLUSIVE OF DECORATION; FILLING: 100% POLYESTER; THROW: 90% ACRYLIC, 10% POLYESTER; SHEETS: 100% COTTON</t>
  </si>
  <si>
    <t>766195404978</t>
  </si>
  <si>
    <t>Tommy Hilfiger Woodford Cotton Reversible Str Grey FullQueen</t>
  </si>
  <si>
    <t>038853TH002</t>
  </si>
  <si>
    <t>636193439398</t>
  </si>
  <si>
    <t>680TC FQ DVT WHT BASIC</t>
  </si>
  <si>
    <t>WHT02QD790</t>
  </si>
  <si>
    <t>732995473469</t>
  </si>
  <si>
    <t>Martha Stewart Collection Star Patchwork King Bedspread Ivory King</t>
  </si>
  <si>
    <t>100047357KG</t>
  </si>
  <si>
    <t>8051834125812</t>
  </si>
  <si>
    <t>HOTEL CLASS WHT/WHT BASIC</t>
  </si>
  <si>
    <t>3FA7017E0788050BBB01</t>
  </si>
  <si>
    <t>100% ELS COTTON</t>
  </si>
  <si>
    <t>8051834126284</t>
  </si>
  <si>
    <t>3FA7017E0788050FBB01</t>
  </si>
  <si>
    <t>PILLOWCASE</t>
  </si>
  <si>
    <t>732997493984</t>
  </si>
  <si>
    <t>Charter Club Damask Cotton 550-Thread Count White King</t>
  </si>
  <si>
    <t>100068875KG</t>
  </si>
  <si>
    <t>732997493137</t>
  </si>
  <si>
    <t>Charter Club Damask Thin Stripe Cotton 550- White King</t>
  </si>
  <si>
    <t>100051414KG</t>
  </si>
  <si>
    <t>706258090618</t>
  </si>
  <si>
    <t>DLLSTKDSGLA</t>
  </si>
  <si>
    <t>843567112683</t>
  </si>
  <si>
    <t>B. Smith B. Smith Lisbeth Light Filteri Indigo 52x96</t>
  </si>
  <si>
    <t>NEF20-96LNI121</t>
  </si>
  <si>
    <t>LUX&amp;LIVING/SILK HOME INC</t>
  </si>
  <si>
    <t>732995186925</t>
  </si>
  <si>
    <t>LUX BLCK IV QN CVLT BASIC</t>
  </si>
  <si>
    <t>100051269QN</t>
  </si>
  <si>
    <t>840970140241</t>
  </si>
  <si>
    <t>Cathay Home Inc. Yarn Dyed KingCalifornia King Ivory KingCalifornia King</t>
  </si>
  <si>
    <t>917063-IVO-K-CK</t>
  </si>
  <si>
    <t>733001259589</t>
  </si>
  <si>
    <t>Hotel Collection Cotton Waffle Textured Bath Ro Brushed Alloy SM</t>
  </si>
  <si>
    <t>609372915587</t>
  </si>
  <si>
    <t>Abyss Abyss Line Residence Bath Towe White</t>
  </si>
  <si>
    <t>SL20025B</t>
  </si>
  <si>
    <t>732998510062</t>
  </si>
  <si>
    <t>ASTRID EU SH</t>
  </si>
  <si>
    <t>100079871ER</t>
  </si>
  <si>
    <t>SKY TEXTILES-BLM</t>
  </si>
  <si>
    <t>100% COTTON; EMBROIDERY 100% POLYESTER</t>
  </si>
  <si>
    <t>608381352086</t>
  </si>
  <si>
    <t>Joseph &amp; Lyman Twill Shorts</t>
  </si>
  <si>
    <t>WTE5KGSS</t>
  </si>
  <si>
    <t>500TC 100% PIMA COTTON</t>
  </si>
  <si>
    <t>706258547815</t>
  </si>
  <si>
    <t>Martha Stewart Collection Cotton Percale 400-Thread Coun Snowy Owl King</t>
  </si>
  <si>
    <t>T4KGSSNOWY</t>
  </si>
  <si>
    <t>728455899771</t>
  </si>
  <si>
    <t>COSTA EURO SHAM WHIT</t>
  </si>
  <si>
    <t>M056ESHAWH</t>
  </si>
  <si>
    <t>706258049197</t>
  </si>
  <si>
    <t>Charter Club Damask Supima Cotton 550-Threa Red Currant Dark Red Queen</t>
  </si>
  <si>
    <t>DLDSLQNSRED</t>
  </si>
  <si>
    <t>608381351669</t>
  </si>
  <si>
    <t>SOLID CK SS ORCH 500 BASIC</t>
  </si>
  <si>
    <t>MNL4QNSS</t>
  </si>
  <si>
    <t>732998216254</t>
  </si>
  <si>
    <t>Charter Club Damask Thin Stripe Cotton 550- Neo Natural FullQueen</t>
  </si>
  <si>
    <t>733001041696</t>
  </si>
  <si>
    <t>SHADOW FL EU SHM SET</t>
  </si>
  <si>
    <t>100099021ER</t>
  </si>
  <si>
    <t>COTTON; DECORATION &amp; FILL: POLYESTER</t>
  </si>
  <si>
    <t>815584029121</t>
  </si>
  <si>
    <t>FLAIR SOFT QN</t>
  </si>
  <si>
    <t>BMI-18676L-SQ</t>
  </si>
  <si>
    <t>ALLIED HOME LLC</t>
  </si>
  <si>
    <t>100% COTTON COVER; FILL: DOWN</t>
  </si>
  <si>
    <t>750105140391</t>
  </si>
  <si>
    <t>AAFA PRIMALOFT MED KG</t>
  </si>
  <si>
    <t>BLOP0510WK</t>
  </si>
  <si>
    <t>DOWN LITE INTERNATIONAL</t>
  </si>
  <si>
    <t>COVER: COTTON; FILL: POLYESTER FIBER</t>
  </si>
  <si>
    <t>706257404553</t>
  </si>
  <si>
    <t>Hotel Collection Cotton 680 Thread Count King F Ivory King</t>
  </si>
  <si>
    <t>68I22KGFT</t>
  </si>
  <si>
    <t>734737422964</t>
  </si>
  <si>
    <t>Fairfield Square Collection Austin 8-Pc. Reversible Comfor Red King</t>
  </si>
  <si>
    <t>15977329V</t>
  </si>
  <si>
    <t>732995602050</t>
  </si>
  <si>
    <t>HP 680 Q FT WH</t>
  </si>
  <si>
    <t>100050579QN</t>
  </si>
  <si>
    <t>100% SUPIMA COTTON SATEEN</t>
  </si>
  <si>
    <t>750105140407</t>
  </si>
  <si>
    <t>AAFA PRIMALOFT FIRM STD</t>
  </si>
  <si>
    <t>BLOP0520WS</t>
  </si>
  <si>
    <t>750105140384</t>
  </si>
  <si>
    <t>AAFA PRIMALOFT MED QN</t>
  </si>
  <si>
    <t>BLOP0510WQ</t>
  </si>
  <si>
    <t>COVER: COTTON; FILLER: POLYESTER FIBER</t>
  </si>
  <si>
    <t>679610822557</t>
  </si>
  <si>
    <t>Hallmart Collectibles Scroll Medallion 12 PC Reversi Blue Full</t>
  </si>
  <si>
    <t>608381351973</t>
  </si>
  <si>
    <t>WHIT SOLID 500TC</t>
  </si>
  <si>
    <t>WTE1TWSS</t>
  </si>
  <si>
    <t>728455047882</t>
  </si>
  <si>
    <t>MILAGRO SOLID</t>
  </si>
  <si>
    <t>T320BTOWLI</t>
  </si>
  <si>
    <t>29927565942</t>
  </si>
  <si>
    <t>Sun Zero Amherst Velvet 50 x 84 Therm Ecru 50x84</t>
  </si>
  <si>
    <t>848539021901</t>
  </si>
  <si>
    <t>HOLLYWOOD PUMP BASIC</t>
  </si>
  <si>
    <t>JONATHAN ADLER ENTERPRISES LLC</t>
  </si>
  <si>
    <t>728455273519</t>
  </si>
  <si>
    <t>MILAGRO SOLID BASIC</t>
  </si>
  <si>
    <t>T320BTOWNA</t>
  </si>
  <si>
    <t>883893603844</t>
  </si>
  <si>
    <t>Laura Ashley Mila Blue European Sham Blue European Sham</t>
  </si>
  <si>
    <t>USHSGY1098185</t>
  </si>
  <si>
    <t>RAMIE/ COTTON</t>
  </si>
  <si>
    <t>732999959129</t>
  </si>
  <si>
    <t>QUARTZITE STD SHAM</t>
  </si>
  <si>
    <t>100096168SD</t>
  </si>
  <si>
    <t>58% VISCOSE/42% POLYESTER</t>
  </si>
  <si>
    <t>788904130671</t>
  </si>
  <si>
    <t>Royal Luxe Royal Luxe Microfiber Color Do White King</t>
  </si>
  <si>
    <t>COVER: POLYESTER; FILL: HYP-ALLERGENIC POLYESTER FIBERFILL</t>
  </si>
  <si>
    <t>788904130640</t>
  </si>
  <si>
    <t>Royal Luxe Royal Luxe Microfiber Color Do Khaki King</t>
  </si>
  <si>
    <t>810031410347</t>
  </si>
  <si>
    <t>Battilo Battilo Home Knit Diamond Patt Emerald</t>
  </si>
  <si>
    <t>BTL15011L-EMERALD</t>
  </si>
  <si>
    <t>732995191868</t>
  </si>
  <si>
    <t>Charter Club Damask Stripe Cotton 550-Threa Smoke Grey Twin Extra Long Fitted</t>
  </si>
  <si>
    <t>100056004TX</t>
  </si>
  <si>
    <t>LTBOTTOMFT</t>
  </si>
  <si>
    <t>675716586119</t>
  </si>
  <si>
    <t>Martha Stewart Collection Martha Stewart Collection Soft Natural Ivory King</t>
  </si>
  <si>
    <t>MSFLEECEKIV</t>
  </si>
  <si>
    <t>675716586089</t>
  </si>
  <si>
    <t>Martha Stewart Collection Martha Stewart Collection Soft Blue Fog King</t>
  </si>
  <si>
    <t>MSFLEECEKLB</t>
  </si>
  <si>
    <t>646760084166</t>
  </si>
  <si>
    <t>Jean Pierre Stonewash Racetrack 21x34 Bath Taupe Gray 21 x 34</t>
  </si>
  <si>
    <t>YMB006479</t>
  </si>
  <si>
    <t>636189944004</t>
  </si>
  <si>
    <t>Hotel Collection Turkish 30 x 56 Bath Towel Blue Skyline Bath Towels</t>
  </si>
  <si>
    <t>HTLTURBBSL</t>
  </si>
  <si>
    <t>706258051329</t>
  </si>
  <si>
    <t>Charter Club Damask Supima Cotton 550-Threa Stone Dark Grey Twin</t>
  </si>
  <si>
    <t>DNSLDTWBSTN</t>
  </si>
  <si>
    <t>726895578751</t>
  </si>
  <si>
    <t>Martha Stewart Collection Solid Open Stock 400-Thread Co Butter Yellow Full Flat</t>
  </si>
  <si>
    <t>10021051FL</t>
  </si>
  <si>
    <t>BRGHT YELL</t>
  </si>
  <si>
    <t>REGFULFLAT</t>
  </si>
  <si>
    <t>728455048025</t>
  </si>
  <si>
    <t>T320HTOWLI</t>
  </si>
  <si>
    <t>734737592308</t>
  </si>
  <si>
    <t>Lacoste Legend Cotton 20 x 32 Bath R Sand 20x32</t>
  </si>
  <si>
    <t>R19600N152032</t>
  </si>
  <si>
    <t>728455273533</t>
  </si>
  <si>
    <t>T320HTOWNA</t>
  </si>
  <si>
    <t>680656165867</t>
  </si>
  <si>
    <t>Montevilla Montevilla Cap Curtain Rod Set Black 30-48in</t>
  </si>
  <si>
    <t>30890-BL28</t>
  </si>
  <si>
    <t>DECOPOLITAN/BEME INTERNATIONAL LLC</t>
  </si>
  <si>
    <t>STEEL ROD WITH PLASTIC FINIAL</t>
  </si>
  <si>
    <t>760028583434</t>
  </si>
  <si>
    <t>DreamEase Sherpa Comfort Pillow, Standar Natural</t>
  </si>
  <si>
    <t>10DREAMNAT-10J</t>
  </si>
  <si>
    <t>VALA20X146</t>
  </si>
  <si>
    <t>PEGASUS HOME FASHIONS</t>
  </si>
  <si>
    <t>726895579635</t>
  </si>
  <si>
    <t>Martha Stewart Collection Solid Open Stock 400-Thread Co Butter Yellow Standard</t>
  </si>
  <si>
    <t>10021053SP</t>
  </si>
  <si>
    <t>733001871941</t>
  </si>
  <si>
    <t>Charter Club Wellness Cotton 16 x 28 Hand White Lily Hand Towels</t>
  </si>
  <si>
    <t>733002052165</t>
  </si>
  <si>
    <t>Martha Stewart Collection Chenille Exploded Floral 2-Pc White TwinTwin XL</t>
  </si>
  <si>
    <t>100120808TW</t>
  </si>
  <si>
    <t>MMG-MARTHA STEW/E AND E (JLA HOME)</t>
  </si>
  <si>
    <t>681827992732</t>
  </si>
  <si>
    <t>Ella Jayne Ella Jayne Wearable Weighted S Black No Size</t>
  </si>
  <si>
    <t>EJHCFWTSN-BLK-S-10</t>
  </si>
  <si>
    <t>780870075543</t>
  </si>
  <si>
    <t>PIETRA-SDISHWSL</t>
  </si>
  <si>
    <t>800SOAPDISHWSL</t>
  </si>
  <si>
    <t>SFERRA FINE LINENS LLC</t>
  </si>
  <si>
    <t>783048154170</t>
  </si>
  <si>
    <t>Pem America Sea Life Navy 3-Pc. Reversible Navy Blue FullQueen</t>
  </si>
  <si>
    <t>CS4164FQ-1540</t>
  </si>
  <si>
    <t>783048148933</t>
  </si>
  <si>
    <t>Pem America Holiday Tartan 3-Pc. Reversibl Multiplaid FullQueen</t>
  </si>
  <si>
    <t>CS4078FQ-1540</t>
  </si>
  <si>
    <t>733001273752</t>
  </si>
  <si>
    <t>AMELIE KG PC</t>
  </si>
  <si>
    <t>100099115KP</t>
  </si>
  <si>
    <t>96675612242</t>
  </si>
  <si>
    <t>SensorGel Sensor Gel Arctic 3-Inch Memor White King</t>
  </si>
  <si>
    <t>NYLON/POLYESTER</t>
  </si>
  <si>
    <t>86569140531</t>
  </si>
  <si>
    <t>Madison Park Essentials Essentials Joella Queen 24-Pc. Grey Queen</t>
  </si>
  <si>
    <t>MPE10-765</t>
  </si>
  <si>
    <t>732997259825</t>
  </si>
  <si>
    <t>Hotel Collection Hotel Collection Italian Perca Silver King</t>
  </si>
  <si>
    <t>732999785049</t>
  </si>
  <si>
    <t>Hotel Collection Feather Core Down Surround Fir White King</t>
  </si>
  <si>
    <t>100105539KG</t>
  </si>
  <si>
    <t>732995626841</t>
  </si>
  <si>
    <t>Hotel Collection Woodrose Cotton 400-Thread Cou Pink King</t>
  </si>
  <si>
    <t>100041750KG</t>
  </si>
  <si>
    <t>FABRIC: 100% COTTON; THREAD COUNT: 400</t>
  </si>
  <si>
    <t>675716279288</t>
  </si>
  <si>
    <t>Madison Park Amherst 7-Pc. King Comforter S Blue King</t>
  </si>
  <si>
    <t>MP10-043</t>
  </si>
  <si>
    <t>COMFORTER, BEDSKIRT, SHAMS AND DECORATIVE PILLOWS: POLYESTER; COMFORTER AND DECORATIVE PILLOW FILL: POLYESTER</t>
  </si>
  <si>
    <t>732999339228</t>
  </si>
  <si>
    <t>Hotel Collection Impressions FullQueen Coverle Lightpastel Pu FullQueen</t>
  </si>
  <si>
    <t>100083531QN</t>
  </si>
  <si>
    <t>735837574232</t>
  </si>
  <si>
    <t>Hotel Collection European White Goose Down Soft White King</t>
  </si>
  <si>
    <t>HWGDKS11</t>
  </si>
  <si>
    <t>735837083055</t>
  </si>
  <si>
    <t>Hotel Collection Hotel Collection Luxury Down A White FullQueen</t>
  </si>
  <si>
    <t>HDAQ902</t>
  </si>
  <si>
    <t>732999290185</t>
  </si>
  <si>
    <t>100097048KG</t>
  </si>
  <si>
    <t>732998362418</t>
  </si>
  <si>
    <t>Hotel Collection Hotel Collection Petal King Co Lightpastel King</t>
  </si>
  <si>
    <t>100078425KG</t>
  </si>
  <si>
    <t>SHELL: 100% COTTON, FILL: 100% POLYESTER</t>
  </si>
  <si>
    <t>800298686746</t>
  </si>
  <si>
    <t>Donna Karan Donna Karan Current European S Grey European</t>
  </si>
  <si>
    <t>2OC003052SAP</t>
  </si>
  <si>
    <t>732996988184</t>
  </si>
  <si>
    <t>Martha Stewart Collection Chateau FullQueen Quilt Grey FullQueen</t>
  </si>
  <si>
    <t>100017563FQ</t>
  </si>
  <si>
    <t>FRONT: COTTON; BACK: POLYESTER; FILL: COTTON</t>
  </si>
  <si>
    <t>709271492483</t>
  </si>
  <si>
    <t>Calvin Klein Calvin Klein Grid Formation Sh Dark Gray Queen</t>
  </si>
  <si>
    <t>1010242-QN-C1-D2</t>
  </si>
  <si>
    <t>732998868231</t>
  </si>
  <si>
    <t>Charter Club Damask Designs New Geo Cotton Black Queen</t>
  </si>
  <si>
    <t>100083233QN</t>
  </si>
  <si>
    <t>706258049951</t>
  </si>
  <si>
    <t>Charter Club Damask Supima Cotton 550-Threa Horizon Sky Blue Queen</t>
  </si>
  <si>
    <t>DLLSLQNSHZN</t>
  </si>
  <si>
    <t>636206071232</t>
  </si>
  <si>
    <t>Hotel Collection Dimensional Queen Bedskirt Grey Queen</t>
  </si>
  <si>
    <t>100041077QN</t>
  </si>
  <si>
    <t>31374564140</t>
  </si>
  <si>
    <t>Martha Stewart Collection Essentials 7-Zone King Memory White King</t>
  </si>
  <si>
    <t>10012212KG</t>
  </si>
  <si>
    <t>26865856033</t>
  </si>
  <si>
    <t>Elrene Elrene Athena Rod Pocket 52 x Red 52x95</t>
  </si>
  <si>
    <t>800298597127</t>
  </si>
  <si>
    <t>DKNY Refresh Cotton Tufted-Chenille Mist Standard Sham</t>
  </si>
  <si>
    <t>RFD001070SAA</t>
  </si>
  <si>
    <t>STDTAILOR</t>
  </si>
  <si>
    <t>734737485662</t>
  </si>
  <si>
    <t>Fairfield Square Collection Austin 8-Pc. Reversible Comfor Blue King</t>
  </si>
  <si>
    <t>1575C329V</t>
  </si>
  <si>
    <t>706258051114</t>
  </si>
  <si>
    <t>Charter Club Damask Stripe Supima Cotton 55 Smoke Grey Twin</t>
  </si>
  <si>
    <t>DLLSTTWSSMO</t>
  </si>
  <si>
    <t>190733133714</t>
  </si>
  <si>
    <t>Linum Home Womens Terry Bath Wrap Grey</t>
  </si>
  <si>
    <t>TR-WRP-W</t>
  </si>
  <si>
    <t>86569267221</t>
  </si>
  <si>
    <t>SunSmart Everly 50 x 84 Branch Jacqua Silver 50x84</t>
  </si>
  <si>
    <t>SWV40-0009</t>
  </si>
  <si>
    <t>28828382238</t>
  </si>
  <si>
    <t>WestPoint Home FlatIron Standard Silver Pillo Silver Standard</t>
  </si>
  <si>
    <t>A0KD382238</t>
  </si>
  <si>
    <t>100% TENCELâ„¢ LYOCELL</t>
  </si>
  <si>
    <t>846339047442</t>
  </si>
  <si>
    <t>J Queen New York J Queen New York Astoria 49 x Sand 49x33</t>
  </si>
  <si>
    <t>1800121WTRSW</t>
  </si>
  <si>
    <t>706257399910</t>
  </si>
  <si>
    <t>Hotel Collection Cotton 680 Thread Count Full F White Full</t>
  </si>
  <si>
    <t>68H18FUFT</t>
  </si>
  <si>
    <t>846339035302</t>
  </si>
  <si>
    <t>J Queen New York Sutherland 50 x 108 Window P Gold 50x108</t>
  </si>
  <si>
    <t>1605030108PN</t>
  </si>
  <si>
    <t>675716412159</t>
  </si>
  <si>
    <t>Madison Park Madison Park Lola 72 x 72 10 Blue 72X72</t>
  </si>
  <si>
    <t>MP70-324</t>
  </si>
  <si>
    <t>883893534193</t>
  </si>
  <si>
    <t>City Scene Penelope Twin Duvet Cover Set Pastel Pink Twin</t>
  </si>
  <si>
    <t>USHSFN1044747</t>
  </si>
  <si>
    <t>732997260111</t>
  </si>
  <si>
    <t>Hotel Collection Hotel Collection Italian Perca White No Size</t>
  </si>
  <si>
    <t>29927505344</t>
  </si>
  <si>
    <t>Sun Zero Sun Zero Saxon 54 x 108 Blac Pearl 54x108</t>
  </si>
  <si>
    <t>810031411252</t>
  </si>
  <si>
    <t>Battilo Battilo Light Weight Knit Patt Tan NO SIZE</t>
  </si>
  <si>
    <t>BTL15028</t>
  </si>
  <si>
    <t>733001738503</t>
  </si>
  <si>
    <t>Hotel Collection Willow Bloom King Sham, Create Beige King Sham</t>
  </si>
  <si>
    <t>100112265KG</t>
  </si>
  <si>
    <t>726895578294</t>
  </si>
  <si>
    <t>Martha Stewart Collection Solid Open Stock 400-Thread Co Cloud White Queen Fitted</t>
  </si>
  <si>
    <t>10021050QN</t>
  </si>
  <si>
    <t>810001365691</t>
  </si>
  <si>
    <t>Southshore Fine Linens Southshore Fine Linens Classic Green Twin</t>
  </si>
  <si>
    <t>MF-DUV-MLDY-TW</t>
  </si>
  <si>
    <t>HIGH QUALITY 110 GSM MICROFIBER FABRIC</t>
  </si>
  <si>
    <t>29927505177</t>
  </si>
  <si>
    <t>Sun Zero Sun Zero Saxon 54 x 63 Black Taupe 54x63</t>
  </si>
  <si>
    <t>706257253717</t>
  </si>
  <si>
    <t>Hotel Collection 680 Thread-Count Standard Sham White Standard Sham</t>
  </si>
  <si>
    <t>68W13SS790</t>
  </si>
  <si>
    <t>29927534733</t>
  </si>
  <si>
    <t>Sun Zero Sun Zero Kids Riley 40 x 63 Orange 40x63</t>
  </si>
  <si>
    <t>91116725567</t>
  </si>
  <si>
    <t>Sanders Holiday Microfiber 4 Piece Twi Micha Plaid Twin</t>
  </si>
  <si>
    <t>HDYSS3T</t>
  </si>
  <si>
    <t>706258089889</t>
  </si>
  <si>
    <t>Charter Club Damask Supima Cotton 550-Threa White King Pillowcases</t>
  </si>
  <si>
    <t>DLLSLKPCWHT</t>
  </si>
  <si>
    <t>696445167738</t>
  </si>
  <si>
    <t>Cassadecor Cassadecor Sayville Fringertip Freshwater Blue</t>
  </si>
  <si>
    <t>AMT-172</t>
  </si>
  <si>
    <t>KASSATEX INC</t>
  </si>
  <si>
    <t>760028581447</t>
  </si>
  <si>
    <t>BCBG BCBG Stay Cool Lace Gusset Pil White StandardQueen</t>
  </si>
  <si>
    <t>24SCLACE-10J</t>
  </si>
  <si>
    <t>34299004777</t>
  </si>
  <si>
    <t>Clorox Frosty 70 x 72 Shower Curtai Frosty 70X72</t>
  </si>
  <si>
    <t>1N0-040C0-6111</t>
  </si>
  <si>
    <t>848405050028</t>
  </si>
  <si>
    <t>Mainstream International Inc. Cotton Solid 27 x 52 Bath To Ivory Bath Towels</t>
  </si>
  <si>
    <t>MACPRO214144</t>
  </si>
  <si>
    <t>41808930946</t>
  </si>
  <si>
    <t>Makers Collective Diamond Patchwork 3-Piece King Blue King</t>
  </si>
  <si>
    <t>A085018BLNFS</t>
  </si>
  <si>
    <t>733002640539</t>
  </si>
  <si>
    <t>Charter Club 500-Thread Count Cotton Sateen White King</t>
  </si>
  <si>
    <t>100132448KG</t>
  </si>
  <si>
    <t>INDOCOUNT/MMG-CHARTER CLUB</t>
  </si>
  <si>
    <t>840970172761</t>
  </si>
  <si>
    <t>SW SOLID SS 6PC F AQ</t>
  </si>
  <si>
    <t>SWSS6-001-F-AQ</t>
  </si>
  <si>
    <t>REGFULLSHT</t>
  </si>
  <si>
    <t>733001994220</t>
  </si>
  <si>
    <t>Martha Stewart Collection Spring Bird 16 x 28 Hand Tow White Combo No Size</t>
  </si>
  <si>
    <t>100118415HA</t>
  </si>
  <si>
    <t>735837574157</t>
  </si>
  <si>
    <t>Hotel Collection European White Goose Down Ligh White King</t>
  </si>
  <si>
    <t>HWGDLK03</t>
  </si>
  <si>
    <t>SHELL: 100% COTTON; FILL: DOWN; 700 FILL POWER</t>
  </si>
  <si>
    <t>8051275258681</t>
  </si>
  <si>
    <t>KARIM BASIC</t>
  </si>
  <si>
    <t>MISSONI/T &amp; J VESTOR AMERICA INC</t>
  </si>
  <si>
    <t>883893634725</t>
  </si>
  <si>
    <t>Stone Cottage Camden King Comforter Set Pastel Blue King</t>
  </si>
  <si>
    <t>USHSA51126194</t>
  </si>
  <si>
    <t>734737627765</t>
  </si>
  <si>
    <t>Lacoste Home Meribel FQ Comforter Set Grey Grey FullQueen</t>
  </si>
  <si>
    <t>100% COTTON PRINTED BRUSHED TWILL</t>
  </si>
  <si>
    <t>750105134413</t>
  </si>
  <si>
    <t>Charter Club European White Down Medium Wei White FullQueen</t>
  </si>
  <si>
    <t>FEDC0820WQ</t>
  </si>
  <si>
    <t>750105141435</t>
  </si>
  <si>
    <t>Hotel Collection Primaloft Silver Series Hi Lof White King</t>
  </si>
  <si>
    <t>10011754K</t>
  </si>
  <si>
    <t>COVER: COTTON 450 TC; POLYESTER FILL</t>
  </si>
  <si>
    <t>679610822052</t>
  </si>
  <si>
    <t>Hallmart Collectibles Jagger 14 PC Queen Comforter S Goldivory Queen</t>
  </si>
  <si>
    <t>FIBER: 100% POLYESTER EXCLUSIVE OF DECORATION; FILLING: 100% POLYESTER; SHEETS: 100% COTTON</t>
  </si>
  <si>
    <t>689439434862</t>
  </si>
  <si>
    <t>Hotel Collection Embroidered Frame Quilted King White King</t>
  </si>
  <si>
    <t>EW20KC790</t>
  </si>
  <si>
    <t>675716733155</t>
  </si>
  <si>
    <t>Madison Park Celeste 5-Pc. Queen Comforter Pink Queen</t>
  </si>
  <si>
    <t>MP10-2533</t>
  </si>
  <si>
    <t>COMFORTER AND SHAM FACE: MICROFIBER FROM POLYESTER 85 GRAMS PER SQUARE METER; POLYESTER REVERSE; BEDSKIRT DROP AND PLATFORM: POLYESTER; DECORATIVE PILLOW: MICROFIBER FROM POLYESTER; POLYESTER FILL; COMFORTER FILL: POLYESTER 80 GRAMS PER SQUARE METER</t>
  </si>
  <si>
    <t>848539001071</t>
  </si>
  <si>
    <t>733001495321</t>
  </si>
  <si>
    <t>Martha Stewart Collection Reversible 3-Pc. Cheetah-Print Grey King</t>
  </si>
  <si>
    <t>100100702KG</t>
  </si>
  <si>
    <t>636206595394</t>
  </si>
  <si>
    <t>Hotel Collection Speckle Throw Blue Throw</t>
  </si>
  <si>
    <t>VISCOSE/COTTON/LINEN/POLYESTER, FILLING; POLYESTER</t>
  </si>
  <si>
    <t>706257404621</t>
  </si>
  <si>
    <t>Hotel Collection Cotton 680 Thread Count Extra- Ivory King</t>
  </si>
  <si>
    <t>68I29KXFT</t>
  </si>
  <si>
    <t>636189463345</t>
  </si>
  <si>
    <t>Martha Stewart Collection Martha Stewart Collection Garr Grey Twin</t>
  </si>
  <si>
    <t>QLTGNTW618</t>
  </si>
  <si>
    <t>726895721690</t>
  </si>
  <si>
    <t>Charter Club Sleep Cool 400-Thread Count 4- White Queen</t>
  </si>
  <si>
    <t>10011969QN</t>
  </si>
  <si>
    <t>706258050636</t>
  </si>
  <si>
    <t>Charter Club Damask Stripe Supima Cotton 55 Cotton Candy Light Pink Full</t>
  </si>
  <si>
    <t>DLLSTFLSCTN</t>
  </si>
  <si>
    <t>766195485670</t>
  </si>
  <si>
    <t>Tommy Hilfiger Menemsha Cotton Reversible Tex Navy</t>
  </si>
  <si>
    <t>115671TH001</t>
  </si>
  <si>
    <t>COVER: ALL COTTON, FILLER SHELL: ALL OLEFIN, FILLING: POLYESTER FIBER</t>
  </si>
  <si>
    <t>734737592629</t>
  </si>
  <si>
    <t>Fairfield Square Collection Chelsea 8-Pc. Queen Comforter Multi King</t>
  </si>
  <si>
    <t>734737485655</t>
  </si>
  <si>
    <t>Fairfield Square Collection Austin 8-Pc. Reversible Comfor Blue Queen</t>
  </si>
  <si>
    <t>1575C229V</t>
  </si>
  <si>
    <t>732996412313</t>
  </si>
  <si>
    <t>Martha Stewart Collection Whim By Martha Stewart Collect Cheetah Queen</t>
  </si>
  <si>
    <t>100057468QN</t>
  </si>
  <si>
    <t>733001487609</t>
  </si>
  <si>
    <t>Martha Stewart Collection Whim By Martha Stewart Collect Makeup Queen</t>
  </si>
  <si>
    <t>100103209QN</t>
  </si>
  <si>
    <t>732999063819</t>
  </si>
  <si>
    <t>Martha Stewart Collection Whim By Martha Stewart Collect Brushstroke Dot Queen</t>
  </si>
  <si>
    <t>100078882QN</t>
  </si>
  <si>
    <t>788904002206</t>
  </si>
  <si>
    <t>Blue Ridge Blue Ridge Reversible Down Alt Olivesage King</t>
  </si>
  <si>
    <t>636202045374</t>
  </si>
  <si>
    <t>Hotel Collection Hotel Collection Finest Elegan Flax Bath Towels</t>
  </si>
  <si>
    <t>HTLELITEBF</t>
  </si>
  <si>
    <t>29927559071</t>
  </si>
  <si>
    <t>Sun Zero Sun Zero Duran 50 x 84 Textu Linen 50x84</t>
  </si>
  <si>
    <t>732995664065</t>
  </si>
  <si>
    <t>Charter Club Damask Designs 12 x 18 Decor Mrs. 12x18</t>
  </si>
  <si>
    <t>646760093212</t>
  </si>
  <si>
    <t>Laura Ashley Crochet Cotton Reversible 17 Indigo 17 x 24</t>
  </si>
  <si>
    <t>LAYMB007174</t>
  </si>
  <si>
    <t>25521184671</t>
  </si>
  <si>
    <t>Martha Stewart Collection Wont Go Flat Core Extra Firm White Standard</t>
  </si>
  <si>
    <t>18467FN</t>
  </si>
  <si>
    <t>MARTHA STEWART-MMG/HOLLANDER</t>
  </si>
  <si>
    <t>636202045411</t>
  </si>
  <si>
    <t>Hotel Collection Hotel Collection Finest Elegan Flax Hand Towels</t>
  </si>
  <si>
    <t>HTLELITEHF</t>
  </si>
  <si>
    <t>732995009224</t>
  </si>
  <si>
    <t>Charter Club Cotton 16 x 30 Hand Towel Dream Cloud Blue Hand Towels</t>
  </si>
  <si>
    <t>732995009231</t>
  </si>
  <si>
    <t>Charter Club Cotton 16 x 30 Hand Towel Ballet Blush Hand Towels</t>
  </si>
  <si>
    <t>734737472990</t>
  </si>
  <si>
    <t>Lacoste Legend 13 Square Supima Cotto White Washcloths</t>
  </si>
  <si>
    <t>T16825N01313</t>
  </si>
  <si>
    <t>SUPIMA COTTON LOOPS/ COTTON GROUND</t>
  </si>
  <si>
    <t>766195440525</t>
  </si>
  <si>
    <t>Tommy Hilfiger All American II Cotton Washclo White Washcloths</t>
  </si>
  <si>
    <t>079387TH003</t>
  </si>
  <si>
    <t>679610834802</t>
  </si>
  <si>
    <t>Hallmart Collectibles Wenings 12-Pc. Reversible King Icybluewhite King</t>
  </si>
  <si>
    <t>807709692655</t>
  </si>
  <si>
    <t>Dainty Home Dainty Home Hannah Linen Look Gray 76 x 84</t>
  </si>
  <si>
    <t>HAN7684GR</t>
  </si>
  <si>
    <t>BABY SIGNATURE DBA DAINTY HOME INC</t>
  </si>
  <si>
    <t>ORIGINAL RETAIL</t>
  </si>
  <si>
    <t>735837574171</t>
  </si>
  <si>
    <t>Hotel Collection European White Goose Down Medi White FullQueen</t>
  </si>
  <si>
    <t>HWGDQM05</t>
  </si>
  <si>
    <t>800298668261</t>
  </si>
  <si>
    <t>Donna Karan Donna Karan Collection Luna Fu Platinum FullQueen</t>
  </si>
  <si>
    <t>LUN100234DVG</t>
  </si>
  <si>
    <t>52% RAYON/48% POLYESTER</t>
  </si>
  <si>
    <t>735837574270</t>
  </si>
  <si>
    <t>Hotel Collection European White Goose Down Firm White King</t>
  </si>
  <si>
    <t>HWGDKF15</t>
  </si>
  <si>
    <t>732996465197</t>
  </si>
  <si>
    <t>733001923183</t>
  </si>
  <si>
    <t>Hotel Collection Burnish Bronze FullQueen Duve Bronze FullQueen</t>
  </si>
  <si>
    <t>100115763FQ</t>
  </si>
  <si>
    <t>800298668315</t>
  </si>
  <si>
    <t>Donna Karan Donna Karan Collection Luna Eu Platinum European Sham</t>
  </si>
  <si>
    <t>LUN100234SAP</t>
  </si>
  <si>
    <t>SHELL: COTTON; OVERLAY: NYLON; EMBROIDERY: POLYESTER</t>
  </si>
  <si>
    <t>800298668285</t>
  </si>
  <si>
    <t>Donna Karan Donna Karan Collection Luna St Platinum Standard Sham</t>
  </si>
  <si>
    <t>LUN100234SAA</t>
  </si>
  <si>
    <t>732999785032</t>
  </si>
  <si>
    <t>Hotel Collection 300-Thread Count King Down-Alt White King</t>
  </si>
  <si>
    <t>100105537KG</t>
  </si>
  <si>
    <t>810015870228</t>
  </si>
  <si>
    <t>Bedgear Level 0.0 Pillow White Standard</t>
  </si>
  <si>
    <t>BGP104AMPP-MCY</t>
  </si>
  <si>
    <t>DRI-TEC</t>
  </si>
  <si>
    <t>732999855209</t>
  </si>
  <si>
    <t>Charter Club Damask Designs Floral Blooms 3 Grey King</t>
  </si>
  <si>
    <t>100104275KG</t>
  </si>
  <si>
    <t>732998706946</t>
  </si>
  <si>
    <t>HP 800TC KG FT WH</t>
  </si>
  <si>
    <t>8ESWHKGFT79</t>
  </si>
  <si>
    <t>733001381624</t>
  </si>
  <si>
    <t>Charter Club Matelasse Ribbed 3-Pc. FullQ White FullQueen</t>
  </si>
  <si>
    <t>100108510FQ</t>
  </si>
  <si>
    <t>733001052739</t>
  </si>
  <si>
    <t>Hotel Collection 500 Thread Count Micro Cotton White Queen</t>
  </si>
  <si>
    <t>100114403QN</t>
  </si>
  <si>
    <t>706257404676</t>
  </si>
  <si>
    <t>Hotel Collection Cotton 680 Thread Count King F Palladium King</t>
  </si>
  <si>
    <t>68P22KGFT</t>
  </si>
  <si>
    <t>706257404348</t>
  </si>
  <si>
    <t>Hotel Collection Cotton 680 Thread Count King F White King</t>
  </si>
  <si>
    <t>68H22KGFT</t>
  </si>
  <si>
    <t>636189810378</t>
  </si>
  <si>
    <t>Charter Club Damask Stripe Supima Cotton 55 Aqua Crystal Twin XL</t>
  </si>
  <si>
    <t>DLLSTTLSAQA</t>
  </si>
  <si>
    <t>732998718710</t>
  </si>
  <si>
    <t>Hotel Collection Hotel Collection 1000 Thread C White Standard Sham</t>
  </si>
  <si>
    <t>100075416SD</t>
  </si>
  <si>
    <t>732997629338</t>
  </si>
  <si>
    <t>Charter Club Damask Designs Honeycomb 50 x Blue Throw</t>
  </si>
  <si>
    <t>706257404379</t>
  </si>
  <si>
    <t>Hotel Collection Cotton 680 Thread Count Set of White King</t>
  </si>
  <si>
    <t>68H25KPC</t>
  </si>
  <si>
    <t>726895578218</t>
  </si>
  <si>
    <t>Martha Stewart Collection Solid Open Stock 400-Thread Co Cloud White King Fitted</t>
  </si>
  <si>
    <t>706257404362</t>
  </si>
  <si>
    <t>Hotel Collection Cotton 680 Thread Count Set of White Standard</t>
  </si>
  <si>
    <t>68H24STPC</t>
  </si>
  <si>
    <t>783048064660</t>
  </si>
  <si>
    <t>Pem America Paris 2-Pc. FullQueen Comfort Blush FullQueen</t>
  </si>
  <si>
    <t>CS2739FQ-1540</t>
  </si>
  <si>
    <t>732994072380</t>
  </si>
  <si>
    <t>Martha Stewart Collection Feels Like Down King Firm Pill White King</t>
  </si>
  <si>
    <t>10029647KG</t>
  </si>
  <si>
    <t>MARTHA STEWART-EDI/DOWNLITE</t>
  </si>
  <si>
    <t>726895578317</t>
  </si>
  <si>
    <t>Martha Stewart Collection Solid Open Stock 400-Thread Co Ivory Queen Fitted</t>
  </si>
  <si>
    <t>4008832690501</t>
  </si>
  <si>
    <t>blomus SONO Oval Tray Grey</t>
  </si>
  <si>
    <t>BL2412M0147</t>
  </si>
  <si>
    <t>BLOMUS-SKS USA CORP</t>
  </si>
  <si>
    <t>CERAMIC, SILICONE</t>
  </si>
  <si>
    <t>843020160978</t>
  </si>
  <si>
    <t>Perthshire Platinum Collection Chain 24 x 40 Bath Rug White 24 x 40</t>
  </si>
  <si>
    <t>P2440-CHN-WH</t>
  </si>
  <si>
    <t>TEXTILE DECOR USA INC</t>
  </si>
  <si>
    <t>COTTON WITH LATEX BACK</t>
  </si>
  <si>
    <t>732998001034</t>
  </si>
  <si>
    <t>Martha Stewart Collection Cool to Touch Medium King Pill White King</t>
  </si>
  <si>
    <t>100085915KG</t>
  </si>
  <si>
    <t>29927440812</t>
  </si>
  <si>
    <t>No. 918 Silvia Crushed Sheer 50 x 95 Gray 50x95</t>
  </si>
  <si>
    <t>SILVIA</t>
  </si>
  <si>
    <t>29927440768</t>
  </si>
  <si>
    <t>No. 918 Silvia Crushed Sheer 50 x 84 Gray 50x84</t>
  </si>
  <si>
    <t>36326576400</t>
  </si>
  <si>
    <t>Saturday Knight Saturday Knight Ltd. Roche Lot Nickel</t>
  </si>
  <si>
    <t>SATURDAY KNIGHT LTD</t>
  </si>
  <si>
    <t>732994477383</t>
  </si>
  <si>
    <t>Martha Stewart Collection Farmhouse Reversible Patchwork Red Standard Sham</t>
  </si>
  <si>
    <t>FARMPCHST</t>
  </si>
  <si>
    <t>29927534566</t>
  </si>
  <si>
    <t>Sun Zero Sun Zero Preston 40 x 84 Gro Grey 40x84</t>
  </si>
  <si>
    <t>29927440300</t>
  </si>
  <si>
    <t>Sun Zero Sun Zero Preston 40 x 84 Gro Charcoal 40x84</t>
  </si>
  <si>
    <t>732998302056</t>
  </si>
  <si>
    <t>Hotel Collection Block Geo Cotton 30 x 56 Bat Muted Clay Comb Bath Towels</t>
  </si>
  <si>
    <t>42694347627</t>
  </si>
  <si>
    <t>Charter Club Classic Bath Rug White 17 x 24</t>
  </si>
  <si>
    <t>Y322200934</t>
  </si>
  <si>
    <t>726895579598</t>
  </si>
  <si>
    <t>Martha Stewart Collection Solid Open Stock 400-Thread Co Ivory Standard</t>
  </si>
  <si>
    <t>806222684345</t>
  </si>
  <si>
    <t>Divatex Cotton Textured Quick-Dry 27 Blue Bath Towels</t>
  </si>
  <si>
    <t>2750118-BT-B1-O42</t>
  </si>
  <si>
    <t>DIVATEX/HIMATSINGKA AMERICA</t>
  </si>
  <si>
    <t>733001466451</t>
  </si>
  <si>
    <t>Hotel Collection Platinum King Down Comforter White King</t>
  </si>
  <si>
    <t>100106171KG</t>
  </si>
  <si>
    <t>732999357314</t>
  </si>
  <si>
    <t>Alfani MAJESTIC BLK RHN Black 9 M</t>
  </si>
  <si>
    <t>BDFRDGEOBND</t>
  </si>
  <si>
    <t>733001640103</t>
  </si>
  <si>
    <t>Charter Club Damask Cotton 550-Thread Count Winter Pine Green FullQueen</t>
  </si>
  <si>
    <t>100068882FQ</t>
  </si>
  <si>
    <t>733002070121</t>
  </si>
  <si>
    <t>Martha Stewart Collection Whim by Martha Stewart Collect Ditsy Floral Twin</t>
  </si>
  <si>
    <t>100115857KG</t>
  </si>
  <si>
    <t>732996468815</t>
  </si>
  <si>
    <t>Hotel Collection Classic Scroll Applique Cotto White King</t>
  </si>
  <si>
    <t>100070656KG</t>
  </si>
  <si>
    <t>732998718697</t>
  </si>
  <si>
    <t>100073401KG</t>
  </si>
  <si>
    <t>732997906477</t>
  </si>
  <si>
    <t>Hotel Collection Hotel Collection Terra King Du Grey King</t>
  </si>
  <si>
    <t>100073973KG</t>
  </si>
  <si>
    <t>FRONT: COTTON/POLYESTER/VISCOSE BLEND, BACK: 100% COTTON</t>
  </si>
  <si>
    <t>733001092575</t>
  </si>
  <si>
    <t>Hotel Collection Hydrangea King Duvet, Created White King</t>
  </si>
  <si>
    <t>100100614KG</t>
  </si>
  <si>
    <t>38992937301</t>
  </si>
  <si>
    <t>Waterford Waterford Olann 50 L x 84 W Gold-Tone ONE SIZE</t>
  </si>
  <si>
    <t>CNOLANW7101184P</t>
  </si>
  <si>
    <t>108 DBL</t>
  </si>
  <si>
    <t>86569046130</t>
  </si>
  <si>
    <t>JLA Home Sleep Philosophy 300 Thread Co White King</t>
  </si>
  <si>
    <t>BASI10-0554</t>
  </si>
  <si>
    <t>COMFORTER SHELL: 100% COTTON, 300 THREAD COUNT SATEEN WITH ANTIMICROBIAL AND ODOR ELIMINATING FABRIC; FILLING: 10OZ/YD2, 100% TENCEL FIBER; SEWING: 12" END-TO-END BOX WITH SELF PIPING</t>
  </si>
  <si>
    <t>732999062768</t>
  </si>
  <si>
    <t>Martha Stewart Collection Pleated Tie Dye 3-Pc. King Com Blue King</t>
  </si>
  <si>
    <t>100087990KG</t>
  </si>
  <si>
    <t>783048062635</t>
  </si>
  <si>
    <t>Christian Siriano New York Christian Siriano Dreamy Flora Multiple FullQueen</t>
  </si>
  <si>
    <t>DCS2732FQ-1800</t>
  </si>
  <si>
    <t>706258051398</t>
  </si>
  <si>
    <t>Charter Club Damask Cotton 210-Thread Count Navy FullQueen</t>
  </si>
  <si>
    <t>DSKQLTCFQNV</t>
  </si>
  <si>
    <t>732998897705</t>
  </si>
  <si>
    <t>Charter Club Damask Designs Jacobean 300-Th Smoke King</t>
  </si>
  <si>
    <t>100079947KG</t>
  </si>
  <si>
    <t>732997069813</t>
  </si>
  <si>
    <t>Charter Club Damask Collection Windowpane C Clean Chambray Queen</t>
  </si>
  <si>
    <t>100070335QN</t>
  </si>
  <si>
    <t>732998305385</t>
  </si>
  <si>
    <t>Charter Club Damask Designs Blossom 300-Thr Coral FullQueen</t>
  </si>
  <si>
    <t>100079943FQ</t>
  </si>
  <si>
    <t>SHELL: COTTON; POLYESTER FILL; THREAD COUNT: 300</t>
  </si>
  <si>
    <t>675716674830</t>
  </si>
  <si>
    <t>Sleep Philosophy Peyton Reversible 3-Pc. FullQ Grey FullQueen</t>
  </si>
  <si>
    <t>BASI10-0340</t>
  </si>
  <si>
    <t>706257998250</t>
  </si>
  <si>
    <t>Hotel Collection Fresco California King Bedskir Gold California King</t>
  </si>
  <si>
    <t>FO21CBS790</t>
  </si>
  <si>
    <t>POLY COTTON</t>
  </si>
  <si>
    <t>706257399835</t>
  </si>
  <si>
    <t>Hotel Collection Cotton 680 Thread Count Califo Sand California King</t>
  </si>
  <si>
    <t>68D23CKFT</t>
  </si>
  <si>
    <t>CALKBTTMFT</t>
  </si>
  <si>
    <t>734737637467</t>
  </si>
  <si>
    <t>Fairfield Square Collection Aspen T1000 CVC King sheet set Blue King</t>
  </si>
  <si>
    <t>734737620247</t>
  </si>
  <si>
    <t>Sunham Paris 12-Pc. Reversible Comfor Gray Full</t>
  </si>
  <si>
    <t>734737592605</t>
  </si>
  <si>
    <t>Fairfield Square Collection Chelsea 8-Pc. Queen Comforter Multi Full</t>
  </si>
  <si>
    <t>783048128188</t>
  </si>
  <si>
    <t>Pem America Modern Stripe 8-Pc. Queen Comf Multi Queen</t>
  </si>
  <si>
    <t>BIB3607QN-3240</t>
  </si>
  <si>
    <t>732996468785</t>
  </si>
  <si>
    <t>Hotel Collection Classic Scroll Applique Cotto White Standard Sham</t>
  </si>
  <si>
    <t>100061809SD</t>
  </si>
  <si>
    <t>810031411634</t>
  </si>
  <si>
    <t>Happycare Textiles Happycare Textiles Rustic Styl Orange NO SIZE</t>
  </si>
  <si>
    <t>BTL17097</t>
  </si>
  <si>
    <t>636202612002</t>
  </si>
  <si>
    <t>Hotel Collection Hotel Collection 525 Thread Co White Standard Pillowcases</t>
  </si>
  <si>
    <t>5W20STC790</t>
  </si>
  <si>
    <t>608356690977</t>
  </si>
  <si>
    <t>Charter Club Elite Hygro Cotton Bath Towel Red Curran Bath Towels</t>
  </si>
  <si>
    <t>608356690953</t>
  </si>
  <si>
    <t>Charter Club Elite Hygro Cotton Bath Towel Indigo Bath Towels</t>
  </si>
  <si>
    <t>85214127637</t>
  </si>
  <si>
    <t>Disney Toddler Boys and Girls Top T Pink NO SIZE</t>
  </si>
  <si>
    <t>3449416P</t>
  </si>
  <si>
    <t>732999609895</t>
  </si>
  <si>
    <t>Charter Club Damask Designs Printed Leaves Green FullQueen</t>
  </si>
  <si>
    <t>100078410FQ</t>
  </si>
  <si>
    <t>733002432615</t>
  </si>
  <si>
    <t>Charter Club 325-Thread Count Cotton 4-Pc. Blue Cosmos King</t>
  </si>
  <si>
    <t>100124328KG</t>
  </si>
  <si>
    <t>734737637535</t>
  </si>
  <si>
    <t>Fairfield Square Collection Aspen T1000 CVC California Kin Green California King</t>
  </si>
  <si>
    <t>807882550827</t>
  </si>
  <si>
    <t>THRO Wanda Woven Border Fringe Trim Gray 60x50</t>
  </si>
  <si>
    <t>TH023251003E</t>
  </si>
  <si>
    <t>THRO/JIMCO LAMP &amp; MANUFACTURING CO</t>
  </si>
  <si>
    <t>732999610266</t>
  </si>
  <si>
    <t>Charter Club Elite Tri-Stripe 19 x 34 Bat Graphite No Size</t>
  </si>
  <si>
    <t>CHARTER CLUB-MMG/WELSPUN USA</t>
  </si>
  <si>
    <t>800298520460</t>
  </si>
  <si>
    <t>Donna Karan Donna Karan Home Reflection Si FullQueen</t>
  </si>
  <si>
    <t>CSC649597QTG</t>
  </si>
  <si>
    <t>FACE: SILK. REVERSE: COTTON.</t>
  </si>
  <si>
    <t>193842110072</t>
  </si>
  <si>
    <t>J Queen New York Jqueen Blossom Queen 4 Piece C Ivory Queen</t>
  </si>
  <si>
    <t>2574002QCS</t>
  </si>
  <si>
    <t>726895696271</t>
  </si>
  <si>
    <t>Hotel Collection Linen FullQueen Duvet Cover Grey FullQueen</t>
  </si>
  <si>
    <t>100024678FQ</t>
  </si>
  <si>
    <t>706254953467</t>
  </si>
  <si>
    <t>Hotel Collection Iridescence King Duvet Cover Grey King</t>
  </si>
  <si>
    <t>100047287KG</t>
  </si>
  <si>
    <t>FABRIC: POLYESTER; REVERSES TO COTTON; THREAD COUNT: 376; REVERSES TO 220</t>
  </si>
  <si>
    <t>732997259801</t>
  </si>
  <si>
    <t>Hotel Collection Hotel Collection Italian Perca White FullQueen</t>
  </si>
  <si>
    <t>100068761FQ</t>
  </si>
  <si>
    <t>733001092797</t>
  </si>
  <si>
    <t>Hotel Collection Channels King Duvet, Created f White King</t>
  </si>
  <si>
    <t>100097054KG</t>
  </si>
  <si>
    <t>732996468938</t>
  </si>
  <si>
    <t>Hotel Collection Classic Egyptian Cotton 400-Th Camel King</t>
  </si>
  <si>
    <t>732999971626</t>
  </si>
  <si>
    <t>Hotel Collection Moonstone King Duvet, Created Gold King</t>
  </si>
  <si>
    <t>100107660KG</t>
  </si>
  <si>
    <t>86569096913</t>
  </si>
  <si>
    <t>Beautyrest Beautyrest Deluxe 18lb Quilted White 60x70</t>
  </si>
  <si>
    <t>BR51N-0933</t>
  </si>
  <si>
    <t>COVER:COTTON 233 THREAD COUNT; INSERT: POLYESTER AND BEADS</t>
  </si>
  <si>
    <t>709271377599</t>
  </si>
  <si>
    <t>Calvin Klein Modern Cotton Body FullQueen Gray FullQueen</t>
  </si>
  <si>
    <t>141BODY-FQ-G1-D2</t>
  </si>
  <si>
    <t>883893420335</t>
  </si>
  <si>
    <t>Stone Cottage Mosaic king Duvet Cover Set White King</t>
  </si>
  <si>
    <t>706258090748</t>
  </si>
  <si>
    <t>Charter Club Damask Stripe Supima Cotton 55 White King</t>
  </si>
  <si>
    <t>DLLSTKGSWHT</t>
  </si>
  <si>
    <t>636202611975</t>
  </si>
  <si>
    <t>Hotel Collection Hotel Collection 525 Thread Co White Queen</t>
  </si>
  <si>
    <t>5W17QSS790</t>
  </si>
  <si>
    <t>706258050766</t>
  </si>
  <si>
    <t>Charter Club Damask Stripe Supima Cotton 55 Smoke Grey Queen</t>
  </si>
  <si>
    <t>DLLSTQNSSMO</t>
  </si>
  <si>
    <t>706258049920</t>
  </si>
  <si>
    <t>Charter Club Damask Supima Cotton 550-Threa Parchment Beige Queen</t>
  </si>
  <si>
    <t>DLLSLQNSPAR</t>
  </si>
  <si>
    <t>840008369873</t>
  </si>
  <si>
    <t>Dr. Oz Good Life Dr. Oz Good Life Sleeping with White Standard</t>
  </si>
  <si>
    <t>OZGLSS3L90DD</t>
  </si>
  <si>
    <t>732997256169</t>
  </si>
  <si>
    <t>100068206KG</t>
  </si>
  <si>
    <t>KING FLAT</t>
  </si>
  <si>
    <t>635983500331</t>
  </si>
  <si>
    <t>Ella Jayne Overstuffed Plush Allergy Resi White King</t>
  </si>
  <si>
    <t>BMI10324L2K</t>
  </si>
  <si>
    <t>733001843726</t>
  </si>
  <si>
    <t>Charter Club Amara 300-Thread Count 3-Pc. P Navy FullQueen</t>
  </si>
  <si>
    <t>100115576FQ</t>
  </si>
  <si>
    <t>732998897699</t>
  </si>
  <si>
    <t>Charter Club Damask Designs Jacobean 300-Th Smoke FullQueen</t>
  </si>
  <si>
    <t>100079947FQ</t>
  </si>
  <si>
    <t>86569204806</t>
  </si>
  <si>
    <t>Madison Park Cotton Bath Sheet 2-Pc. Set Grey No Size</t>
  </si>
  <si>
    <t>MPS73-430</t>
  </si>
  <si>
    <t>706257253793</t>
  </si>
  <si>
    <t>Hotel Collection 680 Thread-Count California Ki White California King</t>
  </si>
  <si>
    <t>68W21CBS</t>
  </si>
  <si>
    <t>732998964438</t>
  </si>
  <si>
    <t>Hotel Collection Hotel Olympia European Sham, C White European Sham</t>
  </si>
  <si>
    <t>100081498ER</t>
  </si>
  <si>
    <t>706257253786</t>
  </si>
  <si>
    <t>Hotel Collection 680 Thread-Count King Bedskirt White King</t>
  </si>
  <si>
    <t>68W20KBS</t>
  </si>
  <si>
    <t>657812152641</t>
  </si>
  <si>
    <t>Biddeford Quilted Electric Full Mattress White Full</t>
  </si>
  <si>
    <t>5251-5032121-100</t>
  </si>
  <si>
    <t>850335004415</t>
  </si>
  <si>
    <t>Linum Home Soft Twist 2-Pc. Bath Towel Se Navy</t>
  </si>
  <si>
    <t>ST-2BT</t>
  </si>
  <si>
    <t>657812152597</t>
  </si>
  <si>
    <t>Biddeford Comfort Knit Fleece Electric F Denim Full</t>
  </si>
  <si>
    <t>1001-9052127-500</t>
  </si>
  <si>
    <t>680656136898</t>
  </si>
  <si>
    <t>Decopolitan Decopolitan 1-Inch Urn Telesco Black</t>
  </si>
  <si>
    <t>27873A6898</t>
  </si>
  <si>
    <t>191790041103</t>
  </si>
  <si>
    <t>AQ Textiles Camden Sateen 1250-Thread Coun Taupe King</t>
  </si>
  <si>
    <t>25542104025AQT</t>
  </si>
  <si>
    <t>734737581500</t>
  </si>
  <si>
    <t>Sunham Irene 8-Pc. Reversible King Co Blush King</t>
  </si>
  <si>
    <t>734737558342</t>
  </si>
  <si>
    <t>Fairfield Square Collection Austin 8-Pc. Reversible Comfor Taupe King</t>
  </si>
  <si>
    <t>840008370541</t>
  </si>
  <si>
    <t>OZGLSSSCMPVGB</t>
  </si>
  <si>
    <t>810001368463</t>
  </si>
  <si>
    <t>Southshore Fine Linens Southshore Fine Linens Classy Gray King Split</t>
  </si>
  <si>
    <t>VIL-PLT-GRY-SPLT-K</t>
  </si>
  <si>
    <t>KGJUMBOFIT</t>
  </si>
  <si>
    <t>HIGH QUALITY 110 GSM MICROFIBER</t>
  </si>
  <si>
    <t>27061216119</t>
  </si>
  <si>
    <t>Redmon Since 1883 Redmon Bamboo 3 Tier Shelf</t>
  </si>
  <si>
    <t>W C REDMON CO</t>
  </si>
  <si>
    <t>100% BAMBOO</t>
  </si>
  <si>
    <t>734737422957</t>
  </si>
  <si>
    <t>Fairfield Square Collection Austin 8-Pc. Reversible Comfor Red Queen</t>
  </si>
  <si>
    <t>15977229V</t>
  </si>
  <si>
    <t>814760024240</t>
  </si>
  <si>
    <t>ienjoy Home Home Collection All Season Pre Sage Twin</t>
  </si>
  <si>
    <t>COMFSLDTIENJ</t>
  </si>
  <si>
    <t>SHELL AND FILL: POLYESTER</t>
  </si>
  <si>
    <t>783048154316</t>
  </si>
  <si>
    <t>Pem America Diana 8-Pc. Reversible Queen C Blue Queen</t>
  </si>
  <si>
    <t>BIB4167QN-3240</t>
  </si>
  <si>
    <t>Hotel Collection Hotel Collection Avalon Standa Ivory Standard Sham</t>
  </si>
  <si>
    <t>86569069832</t>
  </si>
  <si>
    <t>Martha Stewart Collection Down Alternative Reverse to Pl Zinfandel FullQueen</t>
  </si>
  <si>
    <t>10028644FQ</t>
  </si>
  <si>
    <t>734737422988</t>
  </si>
  <si>
    <t>Fairfield Square Collection Austin 8-Pc. Reversible Comfor Red Twin XL</t>
  </si>
  <si>
    <t>15977929V</t>
  </si>
  <si>
    <t>83013301852</t>
  </si>
  <si>
    <t>Croscill Croscill Carlotta European Sha Multi European Sham</t>
  </si>
  <si>
    <t>2A0-502C0-8090</t>
  </si>
  <si>
    <t>732997259986</t>
  </si>
  <si>
    <t>Hotel Collection Hotel Collection Italian Perca Silver Standard Sham</t>
  </si>
  <si>
    <t>100068762SD</t>
  </si>
  <si>
    <t>732996249995</t>
  </si>
  <si>
    <t>Charter Club 360 Down Chamber 325-Thread Co White Standard</t>
  </si>
  <si>
    <t>100069643SQ</t>
  </si>
  <si>
    <t>706258091219</t>
  </si>
  <si>
    <t>Charter Club Damask Pima Cotton 550-Thread White King</t>
  </si>
  <si>
    <t>DNSLDKGBWHT</t>
  </si>
  <si>
    <t>732999782987</t>
  </si>
  <si>
    <t>Martha Stewart Collection Gilded Floral Velvet Quilted K Tan King Sham</t>
  </si>
  <si>
    <t>100106016KS</t>
  </si>
  <si>
    <t>726895450521</t>
  </si>
  <si>
    <t>Martha Stewart Collection Essentials Jersey 4-Pc. Full S Grey Queen</t>
  </si>
  <si>
    <t>10015002QN</t>
  </si>
  <si>
    <t>MS ESSENTIALS-EDI/RWI/YUNU-SHEETS</t>
  </si>
  <si>
    <t>636202045367</t>
  </si>
  <si>
    <t>Hotel Collection Hotel Collection Finest Elegan White Bath Towels</t>
  </si>
  <si>
    <t>HTLELITEBW</t>
  </si>
  <si>
    <t>675716842673</t>
  </si>
  <si>
    <t>INKIVY Jane Cotton Percale Embroidere Navy European Sham</t>
  </si>
  <si>
    <t>II11-803</t>
  </si>
  <si>
    <t>INK &amp; IVY/JLA HOME/E &amp; E CO LTD</t>
  </si>
  <si>
    <t>706257404935</t>
  </si>
  <si>
    <t>Hotel Collection Cotton 680 Thread Count Set of Sky Standard</t>
  </si>
  <si>
    <t>68S24STPC</t>
  </si>
  <si>
    <t>679610755480</t>
  </si>
  <si>
    <t>Hallmart Collectibles Amanda 3-Pc. Reversible FullQ Multi Twin</t>
  </si>
  <si>
    <t>FABRIC AND FILL: POLYESTER</t>
  </si>
  <si>
    <t>675716943226</t>
  </si>
  <si>
    <t>Martha Stewart Collection Martha Stewart Collection Soft Scarlet King</t>
  </si>
  <si>
    <t>MCG51458</t>
  </si>
  <si>
    <t>96675639768</t>
  </si>
  <si>
    <t>SensorGel Cool Fusion Standard Pillow wi White Standard</t>
  </si>
  <si>
    <t>91116725611</t>
  </si>
  <si>
    <t>Sanders Holiday 5-Pc. Full Sheet Set w Christmas Truck Full</t>
  </si>
  <si>
    <t>HDYSS4F</t>
  </si>
  <si>
    <t>32281245993</t>
  </si>
  <si>
    <t>Disney Disney Pillow Buddy Disney Frozen Olaf Standard</t>
  </si>
  <si>
    <t>JF24599</t>
  </si>
  <si>
    <t>29927480863</t>
  </si>
  <si>
    <t>Sun Zero Sun Zero Preston 40 x 95 Gro Stone 40x95</t>
  </si>
  <si>
    <t>842933137787</t>
  </si>
  <si>
    <t>ienjoy Home Home Collection Premium Ultra Ivory Standard</t>
  </si>
  <si>
    <t>PCASESLDSTDIENJ</t>
  </si>
  <si>
    <t>34086778270</t>
  </si>
  <si>
    <t>Serta Smart Comfort Cool StandardQu White StandardQueen</t>
  </si>
  <si>
    <t>AMERICAN FIBER IND/SPRINGS IND</t>
  </si>
  <si>
    <t>706257490471</t>
  </si>
  <si>
    <t>Martha Stewart Collection Spa Bath Towel Duckling Bath Towels</t>
  </si>
  <si>
    <t>MSPLSHBDCL</t>
  </si>
  <si>
    <t>732998299912</t>
  </si>
  <si>
    <t>Charter Club Elite Scroll Paisley Cotton 13 Light Lemon Washcloths</t>
  </si>
  <si>
    <t>190945121448</t>
  </si>
  <si>
    <t>Levtex Levtex Home Washed Linen Quilt Charcoal 60x50</t>
  </si>
  <si>
    <t>L602QTH</t>
  </si>
  <si>
    <t>734737637580</t>
  </si>
  <si>
    <t>Fairfield Square Collection Aspen T1000 CVC King sheet set Blush King</t>
  </si>
  <si>
    <t>86569332233</t>
  </si>
  <si>
    <t>Madison Park Madison Park Brianne 50 x 60 Grey 50x60</t>
  </si>
  <si>
    <t>MP50N-7096</t>
  </si>
  <si>
    <t>91116733661</t>
  </si>
  <si>
    <t>Jessica Sanders WHITE 4 PIECE SOLID COTTON SHE Whisper Pink Full</t>
  </si>
  <si>
    <t>SLCPSSK</t>
  </si>
  <si>
    <t>734737636057</t>
  </si>
  <si>
    <t>Sunham Baja Blue 3-Pc. King Comforter Blue King</t>
  </si>
  <si>
    <t>34086777945</t>
  </si>
  <si>
    <t>Nautica True Comfort Pack of 2 Standar White Standard</t>
  </si>
  <si>
    <t>732999571741</t>
  </si>
  <si>
    <t>Charter Club Sleep Cool Egyptian Hygro Cott Pastel Marine Standard Pillowcases</t>
  </si>
  <si>
    <t>100048387SP</t>
  </si>
  <si>
    <t>2 Pallets</t>
  </si>
  <si>
    <t>24 pallets</t>
  </si>
  <si>
    <t>YOUR PRICE</t>
  </si>
  <si>
    <t>EXW FL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</si>
</sst>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$&quot;#,##0.00_);[Red]\(&quot;$&quot;#,##0.00\)"/>
    <numFmt numFmtId="165" formatCode="_(&quot;$&quot;* #,##0.00_);_(&quot;$&quot;* \(#,##0.00\);_(&quot;$&quot;* &quot;-&quot;??_);_(@_)"/>
    <numFmt numFmtId="166" formatCode="&quot;$&quot;#,##0.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u/>
      <sz val="9"/>
      <color rgb="FF0000FF"/>
      <name val="Arial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5" fontId="5" fillId="0" borderId="0" applyFont="0" applyFill="0" applyBorder="0" applyAlignment="0" applyProtection="0"/>
  </cellStyleXfs>
  <cellXfs count="36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49" fontId="3" fillId="0" borderId="0" xfId="0" applyNumberFormat="1" applyFont="1" applyAlignment="1">
      <alignment wrapText="1"/>
    </xf>
    <xf numFmtId="0" fontId="3" fillId="0" borderId="0" xfId="0" applyFont="1" applyAlignment="1">
      <alignment wrapText="1"/>
    </xf>
    <xf numFmtId="1" fontId="3" fillId="0" borderId="0" xfId="0" applyNumberFormat="1" applyFont="1" applyAlignment="1">
      <alignment horizontal="center" wrapText="1"/>
    </xf>
    <xf numFmtId="164" fontId="3" fillId="0" borderId="0" xfId="0" applyNumberFormat="1" applyFont="1" applyAlignment="1">
      <alignment wrapText="1"/>
    </xf>
    <xf numFmtId="49" fontId="3" fillId="0" borderId="0" xfId="0" applyNumberFormat="1" applyFont="1" applyAlignment="1">
      <alignment horizontal="center" wrapText="1"/>
    </xf>
    <xf numFmtId="0" fontId="4" fillId="0" borderId="0" xfId="0" applyFont="1" applyAlignment="1">
      <alignment wrapText="1"/>
    </xf>
    <xf numFmtId="166" fontId="1" fillId="0" borderId="1" xfId="0" applyNumberFormat="1" applyFont="1" applyBorder="1" applyAlignment="1">
      <alignment horizontal="center" vertical="center"/>
    </xf>
    <xf numFmtId="166" fontId="0" fillId="0" borderId="1" xfId="0" applyNumberFormat="1" applyBorder="1" applyAlignment="1">
      <alignment horizontal="center" vertical="center"/>
    </xf>
    <xf numFmtId="166" fontId="0" fillId="0" borderId="0" xfId="0" applyNumberFormat="1"/>
    <xf numFmtId="49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" fontId="3" fillId="0" borderId="0" xfId="0" applyNumberFormat="1" applyFont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" fontId="0" fillId="0" borderId="0" xfId="0" applyNumberFormat="1" applyAlignment="1">
      <alignment horizontal="center" vertical="center"/>
    </xf>
    <xf numFmtId="0" fontId="7" fillId="2" borderId="0" xfId="0" applyFont="1" applyFill="1"/>
    <xf numFmtId="165" fontId="7" fillId="2" borderId="0" xfId="1" applyFont="1" applyFill="1"/>
    <xf numFmtId="166" fontId="1" fillId="0" borderId="0" xfId="0" applyNumberFormat="1" applyFont="1" applyAlignment="1">
      <alignment horizontal="center"/>
    </xf>
    <xf numFmtId="166" fontId="1" fillId="0" borderId="0" xfId="0" applyNumberFormat="1" applyFont="1" applyAlignment="1">
      <alignment horizontal="center" vertical="center"/>
    </xf>
    <xf numFmtId="0" fontId="0" fillId="3" borderId="0" xfId="0" applyFill="1"/>
    <xf numFmtId="10" fontId="0" fillId="3" borderId="0" xfId="0" applyNumberFormat="1" applyFill="1"/>
    <xf numFmtId="165" fontId="0" fillId="3" borderId="0" xfId="0" applyNumberFormat="1" applyFill="1"/>
    <xf numFmtId="0" fontId="6" fillId="4" borderId="1" xfId="0" applyFont="1" applyFill="1" applyBorder="1" applyAlignment="1">
      <alignment horizontal="center" vertical="center"/>
    </xf>
    <xf numFmtId="166" fontId="6" fillId="4" borderId="1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180975</xdr:colOff>
      <xdr:row>0</xdr:row>
      <xdr:rowOff>152400</xdr:rowOff>
    </xdr:from>
    <xdr:to>
      <xdr:col>8</xdr:col>
      <xdr:colOff>257175</xdr:colOff>
      <xdr:row>20</xdr:row>
      <xdr:rowOff>152400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10C692AD-7DC9-44EA-AEA4-02EB1C37D2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5" y="152400"/>
          <a:ext cx="3124200" cy="381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66675</xdr:colOff>
      <xdr:row>1</xdr:row>
      <xdr:rowOff>104775</xdr:rowOff>
    </xdr:from>
    <xdr:to>
      <xdr:col>14</xdr:col>
      <xdr:colOff>142875</xdr:colOff>
      <xdr:row>21</xdr:row>
      <xdr:rowOff>104775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46A8539E-818A-443A-AA13-72E6EE6BB9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62675" y="295275"/>
          <a:ext cx="3124200" cy="381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295275</xdr:colOff>
      <xdr:row>21</xdr:row>
      <xdr:rowOff>171450</xdr:rowOff>
    </xdr:from>
    <xdr:to>
      <xdr:col>8</xdr:col>
      <xdr:colOff>371475</xdr:colOff>
      <xdr:row>41</xdr:row>
      <xdr:rowOff>171450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7DC2FF84-2C3C-4700-919E-6723B38F9A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3675" y="4171950"/>
          <a:ext cx="3124200" cy="381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333375</xdr:colOff>
      <xdr:row>21</xdr:row>
      <xdr:rowOff>85725</xdr:rowOff>
    </xdr:from>
    <xdr:to>
      <xdr:col>14</xdr:col>
      <xdr:colOff>409575</xdr:colOff>
      <xdr:row>41</xdr:row>
      <xdr:rowOff>85725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xmlns="" id="{4FE8414A-BE08-45A4-B723-7B827F6692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29375" y="4086225"/>
          <a:ext cx="3124200" cy="381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Q28"/>
  <sheetViews>
    <sheetView tabSelected="1" zoomScaleNormal="100" workbookViewId="0">
      <selection activeCell="Z28" sqref="Z28"/>
    </sheetView>
  </sheetViews>
  <sheetFormatPr defaultRowHeight="15" x14ac:dyDescent="0.25"/>
  <cols>
    <col min="1" max="1" width="12.42578125" customWidth="1"/>
    <col min="2" max="2" width="12.5703125" style="12" bestFit="1" customWidth="1"/>
    <col min="3" max="3" width="11.5703125" style="31" bestFit="1" customWidth="1"/>
    <col min="4" max="17" width="9.140625" style="31"/>
  </cols>
  <sheetData>
    <row r="1" spans="1:7" x14ac:dyDescent="0.25">
      <c r="A1" s="34" t="s">
        <v>0</v>
      </c>
      <c r="B1" s="35" t="s">
        <v>1</v>
      </c>
    </row>
    <row r="2" spans="1:7" x14ac:dyDescent="0.25">
      <c r="A2" s="2">
        <v>314</v>
      </c>
      <c r="B2" s="11">
        <v>5592.8</v>
      </c>
    </row>
    <row r="3" spans="1:7" x14ac:dyDescent="0.25">
      <c r="A3" s="2">
        <v>98</v>
      </c>
      <c r="B3" s="11">
        <v>4889.04</v>
      </c>
    </row>
    <row r="4" spans="1:7" x14ac:dyDescent="0.25">
      <c r="A4" s="2">
        <v>121</v>
      </c>
      <c r="B4" s="11">
        <v>6643.01</v>
      </c>
    </row>
    <row r="5" spans="1:7" x14ac:dyDescent="0.25">
      <c r="A5" s="2">
        <v>105</v>
      </c>
      <c r="B5" s="11">
        <v>6254.1</v>
      </c>
    </row>
    <row r="6" spans="1:7" x14ac:dyDescent="0.25">
      <c r="A6" s="2">
        <v>60</v>
      </c>
      <c r="B6" s="11">
        <v>3503.49</v>
      </c>
    </row>
    <row r="7" spans="1:7" x14ac:dyDescent="0.25">
      <c r="A7" s="2">
        <v>58</v>
      </c>
      <c r="B7" s="11">
        <v>4087.49</v>
      </c>
      <c r="G7" s="32"/>
    </row>
    <row r="8" spans="1:7" x14ac:dyDescent="0.25">
      <c r="A8" s="2">
        <v>58</v>
      </c>
      <c r="B8" s="11">
        <v>4056.53</v>
      </c>
    </row>
    <row r="9" spans="1:7" x14ac:dyDescent="0.25">
      <c r="A9" s="2">
        <v>45</v>
      </c>
      <c r="B9" s="11">
        <v>3301.24</v>
      </c>
    </row>
    <row r="10" spans="1:7" x14ac:dyDescent="0.25">
      <c r="A10" s="2">
        <v>93</v>
      </c>
      <c r="B10" s="11">
        <v>7712.13</v>
      </c>
    </row>
    <row r="11" spans="1:7" x14ac:dyDescent="0.25">
      <c r="A11" s="2">
        <v>16</v>
      </c>
      <c r="B11" s="11">
        <v>1095.8399999999999</v>
      </c>
    </row>
    <row r="12" spans="1:7" x14ac:dyDescent="0.25">
      <c r="A12" s="2">
        <v>61</v>
      </c>
      <c r="B12" s="11">
        <v>4212.4399999999996</v>
      </c>
    </row>
    <row r="13" spans="1:7" x14ac:dyDescent="0.25">
      <c r="A13" s="2">
        <v>108</v>
      </c>
      <c r="B13" s="11">
        <v>7483.16</v>
      </c>
    </row>
    <row r="14" spans="1:7" x14ac:dyDescent="0.25">
      <c r="A14" s="2">
        <v>64</v>
      </c>
      <c r="B14" s="11">
        <v>5756.53</v>
      </c>
    </row>
    <row r="15" spans="1:7" x14ac:dyDescent="0.25">
      <c r="A15" s="2">
        <v>94</v>
      </c>
      <c r="B15" s="11">
        <v>5428.28</v>
      </c>
    </row>
    <row r="16" spans="1:7" x14ac:dyDescent="0.25">
      <c r="A16" s="2">
        <v>51</v>
      </c>
      <c r="B16" s="11">
        <v>4312.53</v>
      </c>
    </row>
    <row r="17" spans="1:12" x14ac:dyDescent="0.25">
      <c r="A17" s="2">
        <v>54</v>
      </c>
      <c r="B17" s="11">
        <v>4351.47</v>
      </c>
    </row>
    <row r="18" spans="1:12" x14ac:dyDescent="0.25">
      <c r="A18" s="2">
        <v>54</v>
      </c>
      <c r="B18" s="11">
        <v>4679.6899999999996</v>
      </c>
    </row>
    <row r="19" spans="1:12" x14ac:dyDescent="0.25">
      <c r="A19" s="2">
        <v>96</v>
      </c>
      <c r="B19" s="11">
        <v>11169.95</v>
      </c>
      <c r="C19" s="31" t="s">
        <v>4055</v>
      </c>
    </row>
    <row r="20" spans="1:12" x14ac:dyDescent="0.25">
      <c r="A20" s="2">
        <v>60</v>
      </c>
      <c r="B20" s="11">
        <v>5379.47</v>
      </c>
    </row>
    <row r="21" spans="1:12" x14ac:dyDescent="0.25">
      <c r="A21" s="2">
        <v>58</v>
      </c>
      <c r="B21" s="11">
        <v>4973.5</v>
      </c>
    </row>
    <row r="22" spans="1:12" x14ac:dyDescent="0.25">
      <c r="A22" s="2">
        <v>80</v>
      </c>
      <c r="B22" s="11">
        <v>7516.2</v>
      </c>
    </row>
    <row r="23" spans="1:12" x14ac:dyDescent="0.25">
      <c r="A23" s="2">
        <v>84</v>
      </c>
      <c r="B23" s="11">
        <v>6357.53</v>
      </c>
    </row>
    <row r="24" spans="1:12" x14ac:dyDescent="0.25">
      <c r="A24" s="2">
        <v>96</v>
      </c>
      <c r="B24" s="11">
        <v>9301.07</v>
      </c>
    </row>
    <row r="25" spans="1:12" x14ac:dyDescent="0.25">
      <c r="A25" s="1">
        <f>SUM(A2:A24)</f>
        <v>1928</v>
      </c>
      <c r="B25" s="10">
        <f>SUM(B2:B24)</f>
        <v>128057.48999999999</v>
      </c>
    </row>
    <row r="26" spans="1:12" x14ac:dyDescent="0.25">
      <c r="A26" s="27" t="s">
        <v>4057</v>
      </c>
      <c r="B26" s="28">
        <v>27900</v>
      </c>
      <c r="C26" s="33"/>
    </row>
    <row r="27" spans="1:12" x14ac:dyDescent="0.25">
      <c r="B27" s="29" t="s">
        <v>4056</v>
      </c>
    </row>
    <row r="28" spans="1:12" x14ac:dyDescent="0.25">
      <c r="B28" s="30" t="s">
        <v>4058</v>
      </c>
      <c r="H28"/>
      <c r="L28"/>
    </row>
  </sheetData>
  <pageMargins left="0.7" right="0.7" top="0.75" bottom="0.75" header="0.3" footer="0.3"/>
  <pageSetup orientation="portrait" horizontalDpi="0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4"/>
  <sheetViews>
    <sheetView workbookViewId="0">
      <selection sqref="A1:L74"/>
    </sheetView>
  </sheetViews>
  <sheetFormatPr defaultRowHeight="15" x14ac:dyDescent="0.25"/>
  <cols>
    <col min="1" max="1" width="13.140625" style="24" bestFit="1" customWidth="1"/>
    <col min="2" max="2" width="26.28515625" style="24" bestFit="1" customWidth="1"/>
    <col min="3" max="3" width="12.42578125" style="24" bestFit="1" customWidth="1"/>
    <col min="4" max="4" width="8.7109375" style="24" bestFit="1" customWidth="1"/>
    <col min="5" max="5" width="17.28515625" style="24" bestFit="1" customWidth="1"/>
    <col min="6" max="6" width="11.28515625" style="24" bestFit="1" customWidth="1"/>
    <col min="7" max="7" width="10.85546875" style="24" customWidth="1"/>
    <col min="8" max="8" width="12.140625" style="24" customWidth="1"/>
    <col min="9" max="9" width="36.5703125" style="24" bestFit="1" customWidth="1"/>
    <col min="10" max="10" width="19.85546875" style="24" bestFit="1" customWidth="1"/>
    <col min="11" max="12" width="29" style="24" customWidth="1"/>
    <col min="13" max="16384" width="9.140625" style="24"/>
  </cols>
  <sheetData>
    <row r="1" spans="1:12" ht="36" x14ac:dyDescent="0.25">
      <c r="A1" s="18" t="s">
        <v>2</v>
      </c>
      <c r="B1" s="18" t="s">
        <v>3</v>
      </c>
      <c r="C1" s="18" t="s">
        <v>4</v>
      </c>
      <c r="D1" s="18" t="s">
        <v>5</v>
      </c>
      <c r="E1" s="18" t="s">
        <v>6</v>
      </c>
      <c r="F1" s="18" t="s">
        <v>7</v>
      </c>
      <c r="G1" s="18" t="s">
        <v>8</v>
      </c>
      <c r="H1" s="18" t="s">
        <v>9</v>
      </c>
      <c r="I1" s="18" t="s">
        <v>10</v>
      </c>
      <c r="J1" s="18" t="s">
        <v>11</v>
      </c>
      <c r="K1" s="18" t="s">
        <v>12</v>
      </c>
      <c r="L1" s="18" t="s">
        <v>13</v>
      </c>
    </row>
    <row r="2" spans="1:12" ht="24" x14ac:dyDescent="0.25">
      <c r="A2" s="19" t="s">
        <v>1842</v>
      </c>
      <c r="B2" s="20" t="s">
        <v>1843</v>
      </c>
      <c r="C2" s="21">
        <v>1</v>
      </c>
      <c r="D2" s="22">
        <v>225.99</v>
      </c>
      <c r="E2" s="21" t="s">
        <v>1844</v>
      </c>
      <c r="F2" s="20" t="s">
        <v>89</v>
      </c>
      <c r="G2" s="19"/>
      <c r="H2" s="20" t="s">
        <v>865</v>
      </c>
      <c r="I2" s="20" t="s">
        <v>1739</v>
      </c>
      <c r="J2" s="20" t="s">
        <v>20</v>
      </c>
      <c r="K2" s="20" t="s">
        <v>330</v>
      </c>
      <c r="L2" s="23" t="str">
        <f>HYPERLINK("http://slimages.macys.com/is/image/MCY/13068160 ")</f>
        <v xml:space="preserve">http://slimages.macys.com/is/image/MCY/13068160 </v>
      </c>
    </row>
    <row r="3" spans="1:12" ht="36" x14ac:dyDescent="0.25">
      <c r="A3" s="19" t="s">
        <v>1845</v>
      </c>
      <c r="B3" s="20" t="s">
        <v>1846</v>
      </c>
      <c r="C3" s="21">
        <v>1</v>
      </c>
      <c r="D3" s="22">
        <v>299.99</v>
      </c>
      <c r="E3" s="21" t="s">
        <v>1847</v>
      </c>
      <c r="F3" s="20" t="s">
        <v>755</v>
      </c>
      <c r="G3" s="19" t="s">
        <v>1486</v>
      </c>
      <c r="H3" s="20" t="s">
        <v>707</v>
      </c>
      <c r="I3" s="20" t="s">
        <v>708</v>
      </c>
      <c r="J3" s="20"/>
      <c r="K3" s="20"/>
      <c r="L3" s="23" t="str">
        <f>HYPERLINK("http://slimages.macys.com/is/image/MCY/16687199 ")</f>
        <v xml:space="preserve">http://slimages.macys.com/is/image/MCY/16687199 </v>
      </c>
    </row>
    <row r="4" spans="1:12" ht="36" x14ac:dyDescent="0.25">
      <c r="A4" s="19" t="s">
        <v>1848</v>
      </c>
      <c r="B4" s="20" t="s">
        <v>1849</v>
      </c>
      <c r="C4" s="21">
        <v>1</v>
      </c>
      <c r="D4" s="22">
        <v>249.99</v>
      </c>
      <c r="E4" s="21" t="s">
        <v>1850</v>
      </c>
      <c r="F4" s="20" t="s">
        <v>922</v>
      </c>
      <c r="G4" s="19"/>
      <c r="H4" s="20" t="s">
        <v>707</v>
      </c>
      <c r="I4" s="20" t="s">
        <v>874</v>
      </c>
      <c r="J4" s="20" t="s">
        <v>20</v>
      </c>
      <c r="K4" s="20"/>
      <c r="L4" s="23" t="str">
        <f>HYPERLINK("http://slimages.macys.com/is/image/MCY/10467368 ")</f>
        <v xml:space="preserve">http://slimages.macys.com/is/image/MCY/10467368 </v>
      </c>
    </row>
    <row r="5" spans="1:12" ht="36" x14ac:dyDescent="0.25">
      <c r="A5" s="19" t="s">
        <v>1851</v>
      </c>
      <c r="B5" s="20" t="s">
        <v>1852</v>
      </c>
      <c r="C5" s="21">
        <v>2</v>
      </c>
      <c r="D5" s="22">
        <v>479.98</v>
      </c>
      <c r="E5" s="21" t="s">
        <v>1853</v>
      </c>
      <c r="F5" s="20" t="s">
        <v>89</v>
      </c>
      <c r="G5" s="19" t="s">
        <v>1486</v>
      </c>
      <c r="H5" s="20" t="s">
        <v>1854</v>
      </c>
      <c r="I5" s="20" t="s">
        <v>1066</v>
      </c>
      <c r="J5" s="20" t="s">
        <v>1067</v>
      </c>
      <c r="K5" s="20" t="s">
        <v>1855</v>
      </c>
      <c r="L5" s="23" t="str">
        <f>HYPERLINK("http://slimages.macys.com/is/image/MCY/3962568 ")</f>
        <v xml:space="preserve">http://slimages.macys.com/is/image/MCY/3962568 </v>
      </c>
    </row>
    <row r="6" spans="1:12" ht="36" x14ac:dyDescent="0.25">
      <c r="A6" s="19" t="s">
        <v>1856</v>
      </c>
      <c r="B6" s="20" t="s">
        <v>1857</v>
      </c>
      <c r="C6" s="21">
        <v>1</v>
      </c>
      <c r="D6" s="22">
        <v>279.99</v>
      </c>
      <c r="E6" s="21" t="s">
        <v>706</v>
      </c>
      <c r="F6" s="20" t="s">
        <v>89</v>
      </c>
      <c r="G6" s="19"/>
      <c r="H6" s="20" t="s">
        <v>707</v>
      </c>
      <c r="I6" s="20" t="s">
        <v>708</v>
      </c>
      <c r="J6" s="20" t="s">
        <v>20</v>
      </c>
      <c r="K6" s="20" t="s">
        <v>330</v>
      </c>
      <c r="L6" s="23" t="str">
        <f>HYPERLINK("http://slimages.macys.com/is/image/MCY/14788488 ")</f>
        <v xml:space="preserve">http://slimages.macys.com/is/image/MCY/14788488 </v>
      </c>
    </row>
    <row r="7" spans="1:12" ht="24" x14ac:dyDescent="0.25">
      <c r="A7" s="19" t="s">
        <v>1858</v>
      </c>
      <c r="B7" s="20" t="s">
        <v>1859</v>
      </c>
      <c r="C7" s="21">
        <v>1</v>
      </c>
      <c r="D7" s="22">
        <v>249.99</v>
      </c>
      <c r="E7" s="21" t="s">
        <v>1860</v>
      </c>
      <c r="F7" s="20" t="s">
        <v>89</v>
      </c>
      <c r="G7" s="19"/>
      <c r="H7" s="20" t="s">
        <v>707</v>
      </c>
      <c r="I7" s="20" t="s">
        <v>874</v>
      </c>
      <c r="J7" s="20"/>
      <c r="K7" s="20"/>
      <c r="L7" s="23" t="str">
        <f>HYPERLINK("http://slimages.macys.com/is/image/MCY/18173132 ")</f>
        <v xml:space="preserve">http://slimages.macys.com/is/image/MCY/18173132 </v>
      </c>
    </row>
    <row r="8" spans="1:12" ht="36" x14ac:dyDescent="0.25">
      <c r="A8" s="19" t="s">
        <v>1861</v>
      </c>
      <c r="B8" s="20" t="s">
        <v>1862</v>
      </c>
      <c r="C8" s="21">
        <v>1</v>
      </c>
      <c r="D8" s="22">
        <v>192.99</v>
      </c>
      <c r="E8" s="21" t="s">
        <v>1863</v>
      </c>
      <c r="F8" s="20" t="s">
        <v>89</v>
      </c>
      <c r="G8" s="19" t="s">
        <v>17</v>
      </c>
      <c r="H8" s="20" t="s">
        <v>1644</v>
      </c>
      <c r="I8" s="20" t="s">
        <v>1075</v>
      </c>
      <c r="J8" s="20" t="s">
        <v>20</v>
      </c>
      <c r="K8" s="20" t="s">
        <v>1864</v>
      </c>
      <c r="L8" s="23" t="str">
        <f>HYPERLINK("http://slimages.macys.com/is/image/MCY/14355985 ")</f>
        <v xml:space="preserve">http://slimages.macys.com/is/image/MCY/14355985 </v>
      </c>
    </row>
    <row r="9" spans="1:12" ht="36" x14ac:dyDescent="0.25">
      <c r="A9" s="19" t="s">
        <v>1865</v>
      </c>
      <c r="B9" s="20" t="s">
        <v>1866</v>
      </c>
      <c r="C9" s="21">
        <v>1</v>
      </c>
      <c r="D9" s="22">
        <v>249.99</v>
      </c>
      <c r="E9" s="21" t="s">
        <v>1867</v>
      </c>
      <c r="F9" s="20" t="s">
        <v>483</v>
      </c>
      <c r="G9" s="19" t="s">
        <v>1486</v>
      </c>
      <c r="H9" s="20" t="s">
        <v>707</v>
      </c>
      <c r="I9" s="20" t="s">
        <v>1868</v>
      </c>
      <c r="J9" s="20"/>
      <c r="K9" s="20"/>
      <c r="L9" s="23" t="str">
        <f>HYPERLINK("http://slimages.macys.com/is/image/MCY/17106627 ")</f>
        <v xml:space="preserve">http://slimages.macys.com/is/image/MCY/17106627 </v>
      </c>
    </row>
    <row r="10" spans="1:12" ht="36" x14ac:dyDescent="0.25">
      <c r="A10" s="19" t="s">
        <v>1869</v>
      </c>
      <c r="B10" s="20" t="s">
        <v>1870</v>
      </c>
      <c r="C10" s="21">
        <v>1</v>
      </c>
      <c r="D10" s="22">
        <v>199.99</v>
      </c>
      <c r="E10" s="21" t="s">
        <v>1871</v>
      </c>
      <c r="F10" s="20" t="s">
        <v>483</v>
      </c>
      <c r="G10" s="19"/>
      <c r="H10" s="20" t="s">
        <v>707</v>
      </c>
      <c r="I10" s="20" t="s">
        <v>708</v>
      </c>
      <c r="J10" s="20"/>
      <c r="K10" s="20"/>
      <c r="L10" s="23" t="str">
        <f>HYPERLINK("http://slimages.macys.com/is/image/MCY/18173125 ")</f>
        <v xml:space="preserve">http://slimages.macys.com/is/image/MCY/18173125 </v>
      </c>
    </row>
    <row r="11" spans="1:12" ht="48" x14ac:dyDescent="0.25">
      <c r="A11" s="19" t="s">
        <v>1872</v>
      </c>
      <c r="B11" s="20" t="s">
        <v>1873</v>
      </c>
      <c r="C11" s="21">
        <v>2</v>
      </c>
      <c r="D11" s="22">
        <v>211.98</v>
      </c>
      <c r="E11" s="21">
        <v>60894</v>
      </c>
      <c r="F11" s="20" t="s">
        <v>89</v>
      </c>
      <c r="G11" s="19"/>
      <c r="H11" s="20" t="s">
        <v>782</v>
      </c>
      <c r="I11" s="20" t="s">
        <v>835</v>
      </c>
      <c r="J11" s="20" t="s">
        <v>1067</v>
      </c>
      <c r="K11" s="20" t="s">
        <v>1509</v>
      </c>
      <c r="L11" s="23" t="str">
        <f>HYPERLINK("http://slimages.macys.com/is/image/MCY/13359237 ")</f>
        <v xml:space="preserve">http://slimages.macys.com/is/image/MCY/13359237 </v>
      </c>
    </row>
    <row r="12" spans="1:12" ht="24" x14ac:dyDescent="0.25">
      <c r="A12" s="19" t="s">
        <v>1874</v>
      </c>
      <c r="B12" s="20" t="s">
        <v>1875</v>
      </c>
      <c r="C12" s="21">
        <v>1</v>
      </c>
      <c r="D12" s="22">
        <v>99.99</v>
      </c>
      <c r="E12" s="21" t="s">
        <v>1876</v>
      </c>
      <c r="F12" s="20" t="s">
        <v>89</v>
      </c>
      <c r="G12" s="19"/>
      <c r="H12" s="20" t="s">
        <v>772</v>
      </c>
      <c r="I12" s="20" t="s">
        <v>1877</v>
      </c>
      <c r="J12" s="20" t="s">
        <v>20</v>
      </c>
      <c r="K12" s="20"/>
      <c r="L12" s="23" t="str">
        <f>HYPERLINK("http://slimages.macys.com/is/image/MCY/8813910 ")</f>
        <v xml:space="preserve">http://slimages.macys.com/is/image/MCY/8813910 </v>
      </c>
    </row>
    <row r="13" spans="1:12" ht="36" x14ac:dyDescent="0.25">
      <c r="A13" s="19" t="s">
        <v>1878</v>
      </c>
      <c r="B13" s="20" t="s">
        <v>1879</v>
      </c>
      <c r="C13" s="21">
        <v>1</v>
      </c>
      <c r="D13" s="22">
        <v>118.99</v>
      </c>
      <c r="E13" s="21" t="s">
        <v>1880</v>
      </c>
      <c r="F13" s="20" t="s">
        <v>89</v>
      </c>
      <c r="G13" s="19"/>
      <c r="H13" s="20" t="s">
        <v>745</v>
      </c>
      <c r="I13" s="20" t="s">
        <v>1881</v>
      </c>
      <c r="J13" s="20" t="s">
        <v>20</v>
      </c>
      <c r="K13" s="20" t="s">
        <v>1882</v>
      </c>
      <c r="L13" s="23" t="str">
        <f>HYPERLINK("http://slimages.macys.com/is/image/MCY/10354608 ")</f>
        <v xml:space="preserve">http://slimages.macys.com/is/image/MCY/10354608 </v>
      </c>
    </row>
    <row r="14" spans="1:12" ht="36" x14ac:dyDescent="0.25">
      <c r="A14" s="19" t="s">
        <v>1883</v>
      </c>
      <c r="B14" s="20" t="s">
        <v>1884</v>
      </c>
      <c r="C14" s="21">
        <v>1</v>
      </c>
      <c r="D14" s="22">
        <v>119.99</v>
      </c>
      <c r="E14" s="21" t="s">
        <v>1885</v>
      </c>
      <c r="F14" s="20" t="s">
        <v>206</v>
      </c>
      <c r="G14" s="19"/>
      <c r="H14" s="20" t="s">
        <v>772</v>
      </c>
      <c r="I14" s="20" t="s">
        <v>773</v>
      </c>
      <c r="J14" s="20" t="s">
        <v>20</v>
      </c>
      <c r="K14" s="20" t="s">
        <v>1052</v>
      </c>
      <c r="L14" s="23" t="str">
        <f>HYPERLINK("http://slimages.macys.com/is/image/MCY/8433239 ")</f>
        <v xml:space="preserve">http://slimages.macys.com/is/image/MCY/8433239 </v>
      </c>
    </row>
    <row r="15" spans="1:12" ht="24" x14ac:dyDescent="0.25">
      <c r="A15" s="19" t="s">
        <v>1886</v>
      </c>
      <c r="B15" s="20" t="s">
        <v>1887</v>
      </c>
      <c r="C15" s="21">
        <v>1</v>
      </c>
      <c r="D15" s="22">
        <v>119.99</v>
      </c>
      <c r="E15" s="21" t="s">
        <v>1888</v>
      </c>
      <c r="F15" s="20" t="s">
        <v>89</v>
      </c>
      <c r="G15" s="19"/>
      <c r="H15" s="20" t="s">
        <v>772</v>
      </c>
      <c r="I15" s="20" t="s">
        <v>773</v>
      </c>
      <c r="J15" s="20" t="s">
        <v>20</v>
      </c>
      <c r="K15" s="20" t="s">
        <v>1052</v>
      </c>
      <c r="L15" s="23" t="str">
        <f>HYPERLINK("http://slimages.macys.com/is/image/MCY/8433239 ")</f>
        <v xml:space="preserve">http://slimages.macys.com/is/image/MCY/8433239 </v>
      </c>
    </row>
    <row r="16" spans="1:12" ht="24" x14ac:dyDescent="0.25">
      <c r="A16" s="19" t="s">
        <v>1889</v>
      </c>
      <c r="B16" s="20" t="s">
        <v>1890</v>
      </c>
      <c r="C16" s="21">
        <v>1</v>
      </c>
      <c r="D16" s="22">
        <v>149.99</v>
      </c>
      <c r="E16" s="21" t="s">
        <v>1891</v>
      </c>
      <c r="F16" s="20" t="s">
        <v>89</v>
      </c>
      <c r="G16" s="19"/>
      <c r="H16" s="20" t="s">
        <v>739</v>
      </c>
      <c r="I16" s="20" t="s">
        <v>1561</v>
      </c>
      <c r="J16" s="20" t="s">
        <v>20</v>
      </c>
      <c r="K16" s="20" t="s">
        <v>341</v>
      </c>
      <c r="L16" s="23" t="str">
        <f>HYPERLINK("http://slimages.macys.com/is/image/MCY/8905437 ")</f>
        <v xml:space="preserve">http://slimages.macys.com/is/image/MCY/8905437 </v>
      </c>
    </row>
    <row r="17" spans="1:12" ht="24" x14ac:dyDescent="0.25">
      <c r="A17" s="19" t="s">
        <v>1892</v>
      </c>
      <c r="B17" s="20" t="s">
        <v>1893</v>
      </c>
      <c r="C17" s="21">
        <v>1</v>
      </c>
      <c r="D17" s="22">
        <v>149.99</v>
      </c>
      <c r="E17" s="21" t="s">
        <v>1894</v>
      </c>
      <c r="F17" s="20" t="s">
        <v>89</v>
      </c>
      <c r="G17" s="19"/>
      <c r="H17" s="20" t="s">
        <v>739</v>
      </c>
      <c r="I17" s="20" t="s">
        <v>740</v>
      </c>
      <c r="J17" s="20"/>
      <c r="K17" s="20"/>
      <c r="L17" s="23" t="str">
        <f>HYPERLINK("http://slimages.macys.com/is/image/MCY/17912472 ")</f>
        <v xml:space="preserve">http://slimages.macys.com/is/image/MCY/17912472 </v>
      </c>
    </row>
    <row r="18" spans="1:12" ht="24" x14ac:dyDescent="0.25">
      <c r="A18" s="19" t="s">
        <v>1895</v>
      </c>
      <c r="B18" s="20" t="s">
        <v>1896</v>
      </c>
      <c r="C18" s="21">
        <v>1</v>
      </c>
      <c r="D18" s="22">
        <v>99.99</v>
      </c>
      <c r="E18" s="21" t="s">
        <v>1897</v>
      </c>
      <c r="F18" s="20" t="s">
        <v>89</v>
      </c>
      <c r="G18" s="19"/>
      <c r="H18" s="20" t="s">
        <v>772</v>
      </c>
      <c r="I18" s="20" t="s">
        <v>773</v>
      </c>
      <c r="J18" s="20" t="s">
        <v>20</v>
      </c>
      <c r="K18" s="20" t="s">
        <v>1052</v>
      </c>
      <c r="L18" s="23" t="str">
        <f>HYPERLINK("http://slimages.macys.com/is/image/MCY/11607139 ")</f>
        <v xml:space="preserve">http://slimages.macys.com/is/image/MCY/11607139 </v>
      </c>
    </row>
    <row r="19" spans="1:12" ht="36" x14ac:dyDescent="0.25">
      <c r="A19" s="19" t="s">
        <v>1898</v>
      </c>
      <c r="B19" s="20" t="s">
        <v>1899</v>
      </c>
      <c r="C19" s="21">
        <v>4</v>
      </c>
      <c r="D19" s="22">
        <v>407.96</v>
      </c>
      <c r="E19" s="21" t="s">
        <v>1900</v>
      </c>
      <c r="F19" s="20" t="s">
        <v>54</v>
      </c>
      <c r="G19" s="19"/>
      <c r="H19" s="20" t="s">
        <v>745</v>
      </c>
      <c r="I19" s="20" t="s">
        <v>793</v>
      </c>
      <c r="J19" s="20" t="s">
        <v>20</v>
      </c>
      <c r="K19" s="20" t="s">
        <v>396</v>
      </c>
      <c r="L19" s="23" t="str">
        <f>HYPERLINK("http://slimages.macys.com/is/image/MCY/13763312 ")</f>
        <v xml:space="preserve">http://slimages.macys.com/is/image/MCY/13763312 </v>
      </c>
    </row>
    <row r="20" spans="1:12" ht="36" x14ac:dyDescent="0.25">
      <c r="A20" s="19" t="s">
        <v>1901</v>
      </c>
      <c r="B20" s="20" t="s">
        <v>1902</v>
      </c>
      <c r="C20" s="21">
        <v>1</v>
      </c>
      <c r="D20" s="22">
        <v>59.99</v>
      </c>
      <c r="E20" s="21" t="s">
        <v>1903</v>
      </c>
      <c r="F20" s="20" t="s">
        <v>89</v>
      </c>
      <c r="G20" s="19"/>
      <c r="H20" s="20" t="s">
        <v>718</v>
      </c>
      <c r="I20" s="20" t="s">
        <v>806</v>
      </c>
      <c r="J20" s="20" t="s">
        <v>20</v>
      </c>
      <c r="K20" s="20" t="s">
        <v>341</v>
      </c>
      <c r="L20" s="23" t="str">
        <f>HYPERLINK("http://slimages.macys.com/is/image/MCY/15390117 ")</f>
        <v xml:space="preserve">http://slimages.macys.com/is/image/MCY/15390117 </v>
      </c>
    </row>
    <row r="21" spans="1:12" ht="36" x14ac:dyDescent="0.25">
      <c r="A21" s="19" t="s">
        <v>1904</v>
      </c>
      <c r="B21" s="20" t="s">
        <v>1905</v>
      </c>
      <c r="C21" s="21">
        <v>1</v>
      </c>
      <c r="D21" s="22">
        <v>79.989999999999995</v>
      </c>
      <c r="E21" s="21" t="s">
        <v>1906</v>
      </c>
      <c r="F21" s="20"/>
      <c r="G21" s="19"/>
      <c r="H21" s="20" t="s">
        <v>712</v>
      </c>
      <c r="I21" s="20" t="s">
        <v>1576</v>
      </c>
      <c r="J21" s="20" t="s">
        <v>20</v>
      </c>
      <c r="K21" s="20" t="s">
        <v>1907</v>
      </c>
      <c r="L21" s="23" t="str">
        <f>HYPERLINK("http://slimages.macys.com/is/image/MCY/8962717 ")</f>
        <v xml:space="preserve">http://slimages.macys.com/is/image/MCY/8962717 </v>
      </c>
    </row>
    <row r="22" spans="1:12" ht="36" x14ac:dyDescent="0.25">
      <c r="A22" s="19" t="s">
        <v>1908</v>
      </c>
      <c r="B22" s="20" t="s">
        <v>1909</v>
      </c>
      <c r="C22" s="21">
        <v>1</v>
      </c>
      <c r="D22" s="22">
        <v>92.99</v>
      </c>
      <c r="E22" s="21" t="s">
        <v>1910</v>
      </c>
      <c r="F22" s="20" t="s">
        <v>89</v>
      </c>
      <c r="G22" s="19"/>
      <c r="H22" s="20" t="s">
        <v>745</v>
      </c>
      <c r="I22" s="20" t="s">
        <v>793</v>
      </c>
      <c r="J22" s="20" t="s">
        <v>20</v>
      </c>
      <c r="K22" s="20" t="s">
        <v>396</v>
      </c>
      <c r="L22" s="23" t="str">
        <f>HYPERLINK("http://slimages.macys.com/is/image/MCY/13762687 ")</f>
        <v xml:space="preserve">http://slimages.macys.com/is/image/MCY/13762687 </v>
      </c>
    </row>
    <row r="23" spans="1:12" ht="24" x14ac:dyDescent="0.25">
      <c r="A23" s="19" t="s">
        <v>1911</v>
      </c>
      <c r="B23" s="20" t="s">
        <v>1912</v>
      </c>
      <c r="C23" s="21">
        <v>1</v>
      </c>
      <c r="D23" s="22">
        <v>64.989999999999995</v>
      </c>
      <c r="E23" s="21" t="s">
        <v>1913</v>
      </c>
      <c r="F23" s="20" t="s">
        <v>349</v>
      </c>
      <c r="G23" s="19"/>
      <c r="H23" s="20" t="s">
        <v>718</v>
      </c>
      <c r="I23" s="20" t="s">
        <v>1133</v>
      </c>
      <c r="J23" s="20" t="s">
        <v>20</v>
      </c>
      <c r="K23" s="20" t="s">
        <v>798</v>
      </c>
      <c r="L23" s="23" t="str">
        <f>HYPERLINK("http://slimages.macys.com/is/image/MCY/12056304 ")</f>
        <v xml:space="preserve">http://slimages.macys.com/is/image/MCY/12056304 </v>
      </c>
    </row>
    <row r="24" spans="1:12" ht="24" x14ac:dyDescent="0.25">
      <c r="A24" s="19" t="s">
        <v>1914</v>
      </c>
      <c r="B24" s="20" t="s">
        <v>1915</v>
      </c>
      <c r="C24" s="21">
        <v>2</v>
      </c>
      <c r="D24" s="22">
        <v>139.97999999999999</v>
      </c>
      <c r="E24" s="21" t="s">
        <v>1916</v>
      </c>
      <c r="F24" s="20" t="s">
        <v>555</v>
      </c>
      <c r="G24" s="19"/>
      <c r="H24" s="20" t="s">
        <v>865</v>
      </c>
      <c r="I24" s="20" t="s">
        <v>1917</v>
      </c>
      <c r="J24" s="20" t="s">
        <v>20</v>
      </c>
      <c r="K24" s="20" t="s">
        <v>1918</v>
      </c>
      <c r="L24" s="23" t="str">
        <f>HYPERLINK("http://slimages.macys.com/is/image/MCY/13300118 ")</f>
        <v xml:space="preserve">http://slimages.macys.com/is/image/MCY/13300118 </v>
      </c>
    </row>
    <row r="25" spans="1:12" ht="24" x14ac:dyDescent="0.25">
      <c r="A25" s="19" t="s">
        <v>1919</v>
      </c>
      <c r="B25" s="20" t="s">
        <v>1920</v>
      </c>
      <c r="C25" s="21">
        <v>1</v>
      </c>
      <c r="D25" s="22">
        <v>78.989999999999995</v>
      </c>
      <c r="E25" s="21">
        <v>56416</v>
      </c>
      <c r="F25" s="20" t="s">
        <v>755</v>
      </c>
      <c r="G25" s="19"/>
      <c r="H25" s="20" t="s">
        <v>782</v>
      </c>
      <c r="I25" s="20" t="s">
        <v>1921</v>
      </c>
      <c r="J25" s="20" t="s">
        <v>20</v>
      </c>
      <c r="K25" s="20" t="s">
        <v>798</v>
      </c>
      <c r="L25" s="23" t="str">
        <f>HYPERLINK("http://slimages.macys.com/is/image/MCY/14370983 ")</f>
        <v xml:space="preserve">http://slimages.macys.com/is/image/MCY/14370983 </v>
      </c>
    </row>
    <row r="26" spans="1:12" ht="24" x14ac:dyDescent="0.25">
      <c r="A26" s="19" t="s">
        <v>1922</v>
      </c>
      <c r="B26" s="20" t="s">
        <v>1923</v>
      </c>
      <c r="C26" s="21">
        <v>1</v>
      </c>
      <c r="D26" s="22">
        <v>69.989999999999995</v>
      </c>
      <c r="E26" s="21" t="s">
        <v>1924</v>
      </c>
      <c r="F26" s="20" t="s">
        <v>1031</v>
      </c>
      <c r="G26" s="19"/>
      <c r="H26" s="20" t="s">
        <v>739</v>
      </c>
      <c r="I26" s="20" t="s">
        <v>1925</v>
      </c>
      <c r="J26" s="20"/>
      <c r="K26" s="20"/>
      <c r="L26" s="23" t="str">
        <f>HYPERLINK("http://slimages.macys.com/is/image/MCY/18491886 ")</f>
        <v xml:space="preserve">http://slimages.macys.com/is/image/MCY/18491886 </v>
      </c>
    </row>
    <row r="27" spans="1:12" ht="24" x14ac:dyDescent="0.25">
      <c r="A27" s="19" t="s">
        <v>1926</v>
      </c>
      <c r="B27" s="20" t="s">
        <v>1927</v>
      </c>
      <c r="C27" s="21">
        <v>1</v>
      </c>
      <c r="D27" s="22">
        <v>119.99</v>
      </c>
      <c r="E27" s="21" t="s">
        <v>1928</v>
      </c>
      <c r="F27" s="20" t="s">
        <v>394</v>
      </c>
      <c r="G27" s="19"/>
      <c r="H27" s="20" t="s">
        <v>739</v>
      </c>
      <c r="I27" s="20" t="s">
        <v>1561</v>
      </c>
      <c r="J27" s="20" t="s">
        <v>20</v>
      </c>
      <c r="K27" s="20" t="s">
        <v>341</v>
      </c>
      <c r="L27" s="23" t="str">
        <f>HYPERLINK("http://slimages.macys.com/is/image/MCY/12873906 ")</f>
        <v xml:space="preserve">http://slimages.macys.com/is/image/MCY/12873906 </v>
      </c>
    </row>
    <row r="28" spans="1:12" ht="36" x14ac:dyDescent="0.25">
      <c r="A28" s="19" t="s">
        <v>1929</v>
      </c>
      <c r="B28" s="20" t="s">
        <v>1930</v>
      </c>
      <c r="C28" s="21">
        <v>1</v>
      </c>
      <c r="D28" s="22">
        <v>56.99</v>
      </c>
      <c r="E28" s="21" t="s">
        <v>1931</v>
      </c>
      <c r="F28" s="20" t="s">
        <v>16</v>
      </c>
      <c r="G28" s="19" t="s">
        <v>17</v>
      </c>
      <c r="H28" s="20" t="s">
        <v>734</v>
      </c>
      <c r="I28" s="20" t="s">
        <v>1932</v>
      </c>
      <c r="J28" s="20" t="s">
        <v>1514</v>
      </c>
      <c r="K28" s="20" t="s">
        <v>1933</v>
      </c>
      <c r="L28" s="23" t="str">
        <f>HYPERLINK("http://slimages.macys.com/is/image/MCY/10487897 ")</f>
        <v xml:space="preserve">http://slimages.macys.com/is/image/MCY/10487897 </v>
      </c>
    </row>
    <row r="29" spans="1:12" ht="36" x14ac:dyDescent="0.25">
      <c r="A29" s="19" t="s">
        <v>1934</v>
      </c>
      <c r="B29" s="20" t="s">
        <v>1935</v>
      </c>
      <c r="C29" s="21">
        <v>1</v>
      </c>
      <c r="D29" s="22">
        <v>109.99</v>
      </c>
      <c r="E29" s="21" t="s">
        <v>1936</v>
      </c>
      <c r="F29" s="20" t="s">
        <v>1008</v>
      </c>
      <c r="G29" s="19"/>
      <c r="H29" s="20" t="s">
        <v>707</v>
      </c>
      <c r="I29" s="20" t="s">
        <v>1868</v>
      </c>
      <c r="J29" s="20" t="s">
        <v>20</v>
      </c>
      <c r="K29" s="20" t="s">
        <v>330</v>
      </c>
      <c r="L29" s="23" t="str">
        <f>HYPERLINK("http://slimages.macys.com/is/image/MCY/3137941 ")</f>
        <v xml:space="preserve">http://slimages.macys.com/is/image/MCY/3137941 </v>
      </c>
    </row>
    <row r="30" spans="1:12" ht="24" x14ac:dyDescent="0.25">
      <c r="A30" s="19" t="s">
        <v>1937</v>
      </c>
      <c r="B30" s="20" t="s">
        <v>1938</v>
      </c>
      <c r="C30" s="21">
        <v>1</v>
      </c>
      <c r="D30" s="22">
        <v>59.99</v>
      </c>
      <c r="E30" s="21">
        <v>2000000067</v>
      </c>
      <c r="F30" s="20" t="s">
        <v>394</v>
      </c>
      <c r="G30" s="19"/>
      <c r="H30" s="20" t="s">
        <v>712</v>
      </c>
      <c r="I30" s="20" t="s">
        <v>1092</v>
      </c>
      <c r="J30" s="20"/>
      <c r="K30" s="20"/>
      <c r="L30" s="23" t="str">
        <f>HYPERLINK("http://slimages.macys.com/is/image/MCY/17934305 ")</f>
        <v xml:space="preserve">http://slimages.macys.com/is/image/MCY/17934305 </v>
      </c>
    </row>
    <row r="31" spans="1:12" ht="24" x14ac:dyDescent="0.25">
      <c r="A31" s="19" t="s">
        <v>1939</v>
      </c>
      <c r="B31" s="20" t="s">
        <v>1940</v>
      </c>
      <c r="C31" s="21">
        <v>2</v>
      </c>
      <c r="D31" s="22">
        <v>107.98</v>
      </c>
      <c r="E31" s="21" t="s">
        <v>1941</v>
      </c>
      <c r="F31" s="20" t="s">
        <v>691</v>
      </c>
      <c r="G31" s="19"/>
      <c r="H31" s="20" t="s">
        <v>940</v>
      </c>
      <c r="I31" s="20" t="s">
        <v>1705</v>
      </c>
      <c r="J31" s="20" t="s">
        <v>20</v>
      </c>
      <c r="K31" s="20" t="s">
        <v>798</v>
      </c>
      <c r="L31" s="23" t="str">
        <f>HYPERLINK("http://slimages.macys.com/is/image/MCY/10776065 ")</f>
        <v xml:space="preserve">http://slimages.macys.com/is/image/MCY/10776065 </v>
      </c>
    </row>
    <row r="32" spans="1:12" ht="24" x14ac:dyDescent="0.25">
      <c r="A32" s="19" t="s">
        <v>833</v>
      </c>
      <c r="B32" s="20" t="s">
        <v>834</v>
      </c>
      <c r="C32" s="21">
        <v>2</v>
      </c>
      <c r="D32" s="22">
        <v>119.98</v>
      </c>
      <c r="E32" s="21">
        <v>70081</v>
      </c>
      <c r="F32" s="20" t="s">
        <v>89</v>
      </c>
      <c r="G32" s="19"/>
      <c r="H32" s="20" t="s">
        <v>782</v>
      </c>
      <c r="I32" s="20" t="s">
        <v>835</v>
      </c>
      <c r="J32" s="20" t="s">
        <v>20</v>
      </c>
      <c r="K32" s="20" t="s">
        <v>836</v>
      </c>
      <c r="L32" s="23" t="str">
        <f>HYPERLINK("http://slimages.macys.com/is/image/MCY/11443707 ")</f>
        <v xml:space="preserve">http://slimages.macys.com/is/image/MCY/11443707 </v>
      </c>
    </row>
    <row r="33" spans="1:12" ht="36" x14ac:dyDescent="0.25">
      <c r="A33" s="19" t="s">
        <v>1942</v>
      </c>
      <c r="B33" s="20" t="s">
        <v>1943</v>
      </c>
      <c r="C33" s="21">
        <v>1</v>
      </c>
      <c r="D33" s="22">
        <v>99.99</v>
      </c>
      <c r="E33" s="21" t="s">
        <v>1944</v>
      </c>
      <c r="F33" s="20" t="s">
        <v>89</v>
      </c>
      <c r="G33" s="19"/>
      <c r="H33" s="20" t="s">
        <v>707</v>
      </c>
      <c r="I33" s="20" t="s">
        <v>1110</v>
      </c>
      <c r="J33" s="20"/>
      <c r="K33" s="20"/>
      <c r="L33" s="23" t="str">
        <f>HYPERLINK("http://slimages.macys.com/is/image/MCY/16383056 ")</f>
        <v xml:space="preserve">http://slimages.macys.com/is/image/MCY/16383056 </v>
      </c>
    </row>
    <row r="34" spans="1:12" ht="24" x14ac:dyDescent="0.25">
      <c r="A34" s="19" t="s">
        <v>1945</v>
      </c>
      <c r="B34" s="20" t="s">
        <v>1946</v>
      </c>
      <c r="C34" s="21">
        <v>1</v>
      </c>
      <c r="D34" s="22">
        <v>44.99</v>
      </c>
      <c r="E34" s="21" t="s">
        <v>1947</v>
      </c>
      <c r="F34" s="20" t="s">
        <v>89</v>
      </c>
      <c r="G34" s="19"/>
      <c r="H34" s="20" t="s">
        <v>831</v>
      </c>
      <c r="I34" s="20" t="s">
        <v>931</v>
      </c>
      <c r="J34" s="20" t="s">
        <v>20</v>
      </c>
      <c r="K34" s="20" t="s">
        <v>1948</v>
      </c>
      <c r="L34" s="23" t="str">
        <f>HYPERLINK("http://slimages.macys.com/is/image/MCY/14792635 ")</f>
        <v xml:space="preserve">http://slimages.macys.com/is/image/MCY/14792635 </v>
      </c>
    </row>
    <row r="35" spans="1:12" ht="36" x14ac:dyDescent="0.25">
      <c r="A35" s="19" t="s">
        <v>1949</v>
      </c>
      <c r="B35" s="20" t="s">
        <v>1950</v>
      </c>
      <c r="C35" s="21">
        <v>1</v>
      </c>
      <c r="D35" s="22">
        <v>69.989999999999995</v>
      </c>
      <c r="E35" s="21" t="s">
        <v>1951</v>
      </c>
      <c r="F35" s="20" t="s">
        <v>755</v>
      </c>
      <c r="G35" s="19" t="s">
        <v>1952</v>
      </c>
      <c r="H35" s="20" t="s">
        <v>707</v>
      </c>
      <c r="I35" s="20" t="s">
        <v>708</v>
      </c>
      <c r="J35" s="20"/>
      <c r="K35" s="20"/>
      <c r="L35" s="23" t="str">
        <f>HYPERLINK("http://slimages.macys.com/is/image/MCY/16687200 ")</f>
        <v xml:space="preserve">http://slimages.macys.com/is/image/MCY/16687200 </v>
      </c>
    </row>
    <row r="36" spans="1:12" ht="36" x14ac:dyDescent="0.25">
      <c r="A36" s="19" t="s">
        <v>1953</v>
      </c>
      <c r="B36" s="20" t="s">
        <v>1954</v>
      </c>
      <c r="C36" s="21">
        <v>1</v>
      </c>
      <c r="D36" s="22">
        <v>57.99</v>
      </c>
      <c r="E36" s="21" t="s">
        <v>1955</v>
      </c>
      <c r="F36" s="20" t="s">
        <v>674</v>
      </c>
      <c r="G36" s="19"/>
      <c r="H36" s="20" t="s">
        <v>745</v>
      </c>
      <c r="I36" s="20" t="s">
        <v>1956</v>
      </c>
      <c r="J36" s="20" t="s">
        <v>20</v>
      </c>
      <c r="K36" s="20" t="s">
        <v>396</v>
      </c>
      <c r="L36" s="23" t="str">
        <f>HYPERLINK("http://slimages.macys.com/is/image/MCY/14425148 ")</f>
        <v xml:space="preserve">http://slimages.macys.com/is/image/MCY/14425148 </v>
      </c>
    </row>
    <row r="37" spans="1:12" ht="24" x14ac:dyDescent="0.25">
      <c r="A37" s="19" t="s">
        <v>1957</v>
      </c>
      <c r="B37" s="20" t="s">
        <v>1958</v>
      </c>
      <c r="C37" s="21">
        <v>1</v>
      </c>
      <c r="D37" s="22">
        <v>39.99</v>
      </c>
      <c r="E37" s="21">
        <v>213150</v>
      </c>
      <c r="F37" s="20" t="s">
        <v>89</v>
      </c>
      <c r="G37" s="19"/>
      <c r="H37" s="20" t="s">
        <v>831</v>
      </c>
      <c r="I37" s="20" t="s">
        <v>931</v>
      </c>
      <c r="J37" s="20" t="s">
        <v>20</v>
      </c>
      <c r="K37" s="20" t="s">
        <v>798</v>
      </c>
      <c r="L37" s="23" t="str">
        <f>HYPERLINK("http://slimages.macys.com/is/image/MCY/10276257 ")</f>
        <v xml:space="preserve">http://slimages.macys.com/is/image/MCY/10276257 </v>
      </c>
    </row>
    <row r="38" spans="1:12" ht="24" x14ac:dyDescent="0.25">
      <c r="A38" s="19" t="s">
        <v>1959</v>
      </c>
      <c r="B38" s="20" t="s">
        <v>1960</v>
      </c>
      <c r="C38" s="21">
        <v>1</v>
      </c>
      <c r="D38" s="22">
        <v>49.99</v>
      </c>
      <c r="E38" s="21" t="s">
        <v>1961</v>
      </c>
      <c r="F38" s="20" t="s">
        <v>349</v>
      </c>
      <c r="G38" s="19"/>
      <c r="H38" s="20" t="s">
        <v>700</v>
      </c>
      <c r="I38" s="20" t="s">
        <v>1962</v>
      </c>
      <c r="J38" s="20" t="s">
        <v>20</v>
      </c>
      <c r="K38" s="20" t="s">
        <v>1963</v>
      </c>
      <c r="L38" s="23" t="str">
        <f>HYPERLINK("http://slimages.macys.com/is/image/MCY/15213691 ")</f>
        <v xml:space="preserve">http://slimages.macys.com/is/image/MCY/15213691 </v>
      </c>
    </row>
    <row r="39" spans="1:12" ht="24" x14ac:dyDescent="0.25">
      <c r="A39" s="19" t="s">
        <v>1964</v>
      </c>
      <c r="B39" s="20" t="s">
        <v>1965</v>
      </c>
      <c r="C39" s="21">
        <v>1</v>
      </c>
      <c r="D39" s="22">
        <v>39.99</v>
      </c>
      <c r="E39" s="21">
        <v>213144</v>
      </c>
      <c r="F39" s="20" t="s">
        <v>206</v>
      </c>
      <c r="G39" s="19"/>
      <c r="H39" s="20" t="s">
        <v>831</v>
      </c>
      <c r="I39" s="20" t="s">
        <v>931</v>
      </c>
      <c r="J39" s="20" t="s">
        <v>20</v>
      </c>
      <c r="K39" s="20" t="s">
        <v>798</v>
      </c>
      <c r="L39" s="23" t="str">
        <f>HYPERLINK("http://slimages.macys.com/is/image/MCY/10276255 ")</f>
        <v xml:space="preserve">http://slimages.macys.com/is/image/MCY/10276255 </v>
      </c>
    </row>
    <row r="40" spans="1:12" ht="24" x14ac:dyDescent="0.25">
      <c r="A40" s="19" t="s">
        <v>1966</v>
      </c>
      <c r="B40" s="20" t="s">
        <v>1967</v>
      </c>
      <c r="C40" s="21">
        <v>1</v>
      </c>
      <c r="D40" s="22">
        <v>35.99</v>
      </c>
      <c r="E40" s="21" t="s">
        <v>1968</v>
      </c>
      <c r="F40" s="20" t="s">
        <v>89</v>
      </c>
      <c r="G40" s="19"/>
      <c r="H40" s="20" t="s">
        <v>718</v>
      </c>
      <c r="I40" s="20" t="s">
        <v>949</v>
      </c>
      <c r="J40" s="20" t="s">
        <v>20</v>
      </c>
      <c r="K40" s="20" t="s">
        <v>396</v>
      </c>
      <c r="L40" s="23" t="str">
        <f>HYPERLINK("http://slimages.macys.com/is/image/MCY/15704633 ")</f>
        <v xml:space="preserve">http://slimages.macys.com/is/image/MCY/15704633 </v>
      </c>
    </row>
    <row r="41" spans="1:12" ht="24" x14ac:dyDescent="0.25">
      <c r="A41" s="19" t="s">
        <v>1969</v>
      </c>
      <c r="B41" s="20" t="s">
        <v>1970</v>
      </c>
      <c r="C41" s="21">
        <v>1</v>
      </c>
      <c r="D41" s="22">
        <v>31.99</v>
      </c>
      <c r="E41" s="21">
        <v>57827</v>
      </c>
      <c r="F41" s="20" t="s">
        <v>206</v>
      </c>
      <c r="G41" s="19"/>
      <c r="H41" s="20" t="s">
        <v>745</v>
      </c>
      <c r="I41" s="20" t="s">
        <v>1630</v>
      </c>
      <c r="J41" s="20"/>
      <c r="K41" s="20"/>
      <c r="L41" s="23" t="str">
        <f>HYPERLINK("http://slimages.macys.com/is/image/MCY/17939279 ")</f>
        <v xml:space="preserve">http://slimages.macys.com/is/image/MCY/17939279 </v>
      </c>
    </row>
    <row r="42" spans="1:12" ht="36" x14ac:dyDescent="0.25">
      <c r="A42" s="19" t="s">
        <v>1971</v>
      </c>
      <c r="B42" s="20" t="s">
        <v>1972</v>
      </c>
      <c r="C42" s="21">
        <v>1</v>
      </c>
      <c r="D42" s="22">
        <v>29.99</v>
      </c>
      <c r="E42" s="21" t="s">
        <v>1973</v>
      </c>
      <c r="F42" s="20" t="s">
        <v>1222</v>
      </c>
      <c r="G42" s="19" t="s">
        <v>17</v>
      </c>
      <c r="H42" s="20" t="s">
        <v>718</v>
      </c>
      <c r="I42" s="20" t="s">
        <v>1974</v>
      </c>
      <c r="J42" s="20" t="s">
        <v>20</v>
      </c>
      <c r="K42" s="20" t="s">
        <v>1975</v>
      </c>
      <c r="L42" s="23" t="str">
        <f>HYPERLINK("http://slimages.macys.com/is/image/MCY/13057420 ")</f>
        <v xml:space="preserve">http://slimages.macys.com/is/image/MCY/13057420 </v>
      </c>
    </row>
    <row r="43" spans="1:12" ht="36" x14ac:dyDescent="0.25">
      <c r="A43" s="19" t="s">
        <v>1976</v>
      </c>
      <c r="B43" s="20" t="s">
        <v>1977</v>
      </c>
      <c r="C43" s="21">
        <v>1</v>
      </c>
      <c r="D43" s="22">
        <v>34.99</v>
      </c>
      <c r="E43" s="21" t="s">
        <v>1978</v>
      </c>
      <c r="F43" s="20" t="s">
        <v>850</v>
      </c>
      <c r="G43" s="19"/>
      <c r="H43" s="20" t="s">
        <v>765</v>
      </c>
      <c r="I43" s="20" t="s">
        <v>746</v>
      </c>
      <c r="J43" s="20" t="s">
        <v>20</v>
      </c>
      <c r="K43" s="20"/>
      <c r="L43" s="23" t="str">
        <f>HYPERLINK("http://slimages.macys.com/is/image/MCY/9416630 ")</f>
        <v xml:space="preserve">http://slimages.macys.com/is/image/MCY/9416630 </v>
      </c>
    </row>
    <row r="44" spans="1:12" ht="36" x14ac:dyDescent="0.25">
      <c r="A44" s="19" t="s">
        <v>1979</v>
      </c>
      <c r="B44" s="20" t="s">
        <v>1980</v>
      </c>
      <c r="C44" s="21">
        <v>1</v>
      </c>
      <c r="D44" s="22">
        <v>69.989999999999995</v>
      </c>
      <c r="E44" s="21" t="s">
        <v>1981</v>
      </c>
      <c r="F44" s="20" t="s">
        <v>89</v>
      </c>
      <c r="G44" s="19"/>
      <c r="H44" s="20" t="s">
        <v>707</v>
      </c>
      <c r="I44" s="20" t="s">
        <v>874</v>
      </c>
      <c r="J44" s="20" t="s">
        <v>20</v>
      </c>
      <c r="K44" s="20" t="s">
        <v>751</v>
      </c>
      <c r="L44" s="23" t="str">
        <f>HYPERLINK("http://slimages.macys.com/is/image/MCY/9353025 ")</f>
        <v xml:space="preserve">http://slimages.macys.com/is/image/MCY/9353025 </v>
      </c>
    </row>
    <row r="45" spans="1:12" ht="36" x14ac:dyDescent="0.25">
      <c r="A45" s="19" t="s">
        <v>1982</v>
      </c>
      <c r="B45" s="20" t="s">
        <v>1983</v>
      </c>
      <c r="C45" s="21">
        <v>2</v>
      </c>
      <c r="D45" s="22">
        <v>57.98</v>
      </c>
      <c r="E45" s="21" t="s">
        <v>1984</v>
      </c>
      <c r="F45" s="20" t="s">
        <v>483</v>
      </c>
      <c r="G45" s="19" t="s">
        <v>17</v>
      </c>
      <c r="H45" s="20" t="s">
        <v>718</v>
      </c>
      <c r="I45" s="20" t="s">
        <v>1974</v>
      </c>
      <c r="J45" s="20" t="s">
        <v>20</v>
      </c>
      <c r="K45" s="20" t="s">
        <v>1975</v>
      </c>
      <c r="L45" s="23" t="str">
        <f>HYPERLINK("http://slimages.macys.com/is/image/MCY/13057378 ")</f>
        <v xml:space="preserve">http://slimages.macys.com/is/image/MCY/13057378 </v>
      </c>
    </row>
    <row r="46" spans="1:12" ht="24" x14ac:dyDescent="0.25">
      <c r="A46" s="19" t="s">
        <v>1985</v>
      </c>
      <c r="B46" s="20" t="s">
        <v>1986</v>
      </c>
      <c r="C46" s="21">
        <v>1</v>
      </c>
      <c r="D46" s="22">
        <v>29.99</v>
      </c>
      <c r="E46" s="21">
        <v>55921</v>
      </c>
      <c r="F46" s="20" t="s">
        <v>206</v>
      </c>
      <c r="G46" s="19"/>
      <c r="H46" s="20" t="s">
        <v>745</v>
      </c>
      <c r="I46" s="20" t="s">
        <v>1630</v>
      </c>
      <c r="J46" s="20" t="s">
        <v>20</v>
      </c>
      <c r="K46" s="20" t="s">
        <v>396</v>
      </c>
      <c r="L46" s="23" t="str">
        <f>HYPERLINK("http://slimages.macys.com/is/image/MCY/14663540 ")</f>
        <v xml:space="preserve">http://slimages.macys.com/is/image/MCY/14663540 </v>
      </c>
    </row>
    <row r="47" spans="1:12" ht="24" x14ac:dyDescent="0.25">
      <c r="A47" s="19" t="s">
        <v>1987</v>
      </c>
      <c r="B47" s="20" t="s">
        <v>1988</v>
      </c>
      <c r="C47" s="21">
        <v>2</v>
      </c>
      <c r="D47" s="22">
        <v>75.98</v>
      </c>
      <c r="E47" s="21" t="s">
        <v>1989</v>
      </c>
      <c r="F47" s="20" t="s">
        <v>89</v>
      </c>
      <c r="G47" s="19"/>
      <c r="H47" s="20" t="s">
        <v>782</v>
      </c>
      <c r="I47" s="20" t="s">
        <v>1990</v>
      </c>
      <c r="J47" s="20" t="s">
        <v>20</v>
      </c>
      <c r="K47" s="20" t="s">
        <v>798</v>
      </c>
      <c r="L47" s="23" t="str">
        <f>HYPERLINK("http://slimages.macys.com/is/image/MCY/11716848 ")</f>
        <v xml:space="preserve">http://slimages.macys.com/is/image/MCY/11716848 </v>
      </c>
    </row>
    <row r="48" spans="1:12" ht="36" x14ac:dyDescent="0.25">
      <c r="A48" s="19" t="s">
        <v>1991</v>
      </c>
      <c r="B48" s="20" t="s">
        <v>1992</v>
      </c>
      <c r="C48" s="21">
        <v>1</v>
      </c>
      <c r="D48" s="22">
        <v>38.99</v>
      </c>
      <c r="E48" s="21" t="s">
        <v>1993</v>
      </c>
      <c r="F48" s="20" t="s">
        <v>89</v>
      </c>
      <c r="G48" s="19"/>
      <c r="H48" s="20" t="s">
        <v>745</v>
      </c>
      <c r="I48" s="20" t="s">
        <v>926</v>
      </c>
      <c r="J48" s="20" t="s">
        <v>20</v>
      </c>
      <c r="K48" s="20" t="s">
        <v>927</v>
      </c>
      <c r="L48" s="23" t="str">
        <f>HYPERLINK("http://slimages.macys.com/is/image/MCY/11705229 ")</f>
        <v xml:space="preserve">http://slimages.macys.com/is/image/MCY/11705229 </v>
      </c>
    </row>
    <row r="49" spans="1:12" ht="36" x14ac:dyDescent="0.25">
      <c r="A49" s="19" t="s">
        <v>1994</v>
      </c>
      <c r="B49" s="20" t="s">
        <v>1995</v>
      </c>
      <c r="C49" s="21">
        <v>1</v>
      </c>
      <c r="D49" s="22">
        <v>36.99</v>
      </c>
      <c r="E49" s="21">
        <v>32204</v>
      </c>
      <c r="F49" s="20" t="s">
        <v>89</v>
      </c>
      <c r="G49" s="19"/>
      <c r="H49" s="20" t="s">
        <v>782</v>
      </c>
      <c r="I49" s="20" t="s">
        <v>835</v>
      </c>
      <c r="J49" s="20" t="s">
        <v>1067</v>
      </c>
      <c r="K49" s="20" t="s">
        <v>798</v>
      </c>
      <c r="L49" s="23" t="str">
        <f>HYPERLINK("http://slimages.macys.com/is/image/MCY/16456671 ")</f>
        <v xml:space="preserve">http://slimages.macys.com/is/image/MCY/16456671 </v>
      </c>
    </row>
    <row r="50" spans="1:12" ht="24" x14ac:dyDescent="0.25">
      <c r="A50" s="19" t="s">
        <v>1996</v>
      </c>
      <c r="B50" s="20" t="s">
        <v>1997</v>
      </c>
      <c r="C50" s="21">
        <v>2</v>
      </c>
      <c r="D50" s="22">
        <v>51.98</v>
      </c>
      <c r="E50" s="21">
        <v>57854</v>
      </c>
      <c r="F50" s="20" t="s">
        <v>89</v>
      </c>
      <c r="G50" s="19"/>
      <c r="H50" s="20" t="s">
        <v>745</v>
      </c>
      <c r="I50" s="20" t="s">
        <v>1630</v>
      </c>
      <c r="J50" s="20" t="s">
        <v>20</v>
      </c>
      <c r="K50" s="20" t="s">
        <v>396</v>
      </c>
      <c r="L50" s="23" t="str">
        <f>HYPERLINK("http://slimages.macys.com/is/image/MCY/17938838 ")</f>
        <v xml:space="preserve">http://slimages.macys.com/is/image/MCY/17938838 </v>
      </c>
    </row>
    <row r="51" spans="1:12" ht="24" x14ac:dyDescent="0.25">
      <c r="A51" s="19" t="s">
        <v>1998</v>
      </c>
      <c r="B51" s="20" t="s">
        <v>1999</v>
      </c>
      <c r="C51" s="21">
        <v>1</v>
      </c>
      <c r="D51" s="22">
        <v>28.99</v>
      </c>
      <c r="E51" s="21" t="s">
        <v>2000</v>
      </c>
      <c r="F51" s="20" t="s">
        <v>89</v>
      </c>
      <c r="G51" s="19"/>
      <c r="H51" s="20" t="s">
        <v>865</v>
      </c>
      <c r="I51" s="20" t="s">
        <v>1739</v>
      </c>
      <c r="J51" s="20" t="s">
        <v>20</v>
      </c>
      <c r="K51" s="20" t="s">
        <v>341</v>
      </c>
      <c r="L51" s="23" t="str">
        <f>HYPERLINK("http://slimages.macys.com/is/image/MCY/13067239 ")</f>
        <v xml:space="preserve">http://slimages.macys.com/is/image/MCY/13067239 </v>
      </c>
    </row>
    <row r="52" spans="1:12" ht="24" x14ac:dyDescent="0.25">
      <c r="A52" s="19" t="s">
        <v>2001</v>
      </c>
      <c r="B52" s="20" t="s">
        <v>2002</v>
      </c>
      <c r="C52" s="21">
        <v>1</v>
      </c>
      <c r="D52" s="22">
        <v>24.99</v>
      </c>
      <c r="E52" s="21">
        <v>56255</v>
      </c>
      <c r="F52" s="20" t="s">
        <v>206</v>
      </c>
      <c r="G52" s="19"/>
      <c r="H52" s="20" t="s">
        <v>745</v>
      </c>
      <c r="I52" s="20" t="s">
        <v>1630</v>
      </c>
      <c r="J52" s="20" t="s">
        <v>20</v>
      </c>
      <c r="K52" s="20" t="s">
        <v>396</v>
      </c>
      <c r="L52" s="23" t="str">
        <f>HYPERLINK("http://slimages.macys.com/is/image/MCY/16059796 ")</f>
        <v xml:space="preserve">http://slimages.macys.com/is/image/MCY/16059796 </v>
      </c>
    </row>
    <row r="53" spans="1:12" ht="24" x14ac:dyDescent="0.25">
      <c r="A53" s="19" t="s">
        <v>2003</v>
      </c>
      <c r="B53" s="20" t="s">
        <v>2004</v>
      </c>
      <c r="C53" s="21">
        <v>2</v>
      </c>
      <c r="D53" s="22">
        <v>69.98</v>
      </c>
      <c r="E53" s="21" t="s">
        <v>2005</v>
      </c>
      <c r="F53" s="20" t="s">
        <v>610</v>
      </c>
      <c r="G53" s="19"/>
      <c r="H53" s="20" t="s">
        <v>745</v>
      </c>
      <c r="I53" s="20" t="s">
        <v>2006</v>
      </c>
      <c r="J53" s="20" t="s">
        <v>20</v>
      </c>
      <c r="K53" s="20" t="s">
        <v>2007</v>
      </c>
      <c r="L53" s="23" t="str">
        <f>HYPERLINK("http://slimages.macys.com/is/image/MCY/16407950 ")</f>
        <v xml:space="preserve">http://slimages.macys.com/is/image/MCY/16407950 </v>
      </c>
    </row>
    <row r="54" spans="1:12" ht="36" x14ac:dyDescent="0.25">
      <c r="A54" s="19" t="s">
        <v>2008</v>
      </c>
      <c r="B54" s="20" t="s">
        <v>2009</v>
      </c>
      <c r="C54" s="21">
        <v>1</v>
      </c>
      <c r="D54" s="22">
        <v>19.989999999999998</v>
      </c>
      <c r="E54" s="21" t="s">
        <v>2010</v>
      </c>
      <c r="F54" s="20" t="s">
        <v>89</v>
      </c>
      <c r="G54" s="19"/>
      <c r="H54" s="20" t="s">
        <v>718</v>
      </c>
      <c r="I54" s="20" t="s">
        <v>2011</v>
      </c>
      <c r="J54" s="20" t="s">
        <v>20</v>
      </c>
      <c r="K54" s="20" t="s">
        <v>2012</v>
      </c>
      <c r="L54" s="23" t="str">
        <f>HYPERLINK("http://slimages.macys.com/is/image/MCY/12904539 ")</f>
        <v xml:space="preserve">http://slimages.macys.com/is/image/MCY/12904539 </v>
      </c>
    </row>
    <row r="55" spans="1:12" ht="60" x14ac:dyDescent="0.25">
      <c r="A55" s="19" t="s">
        <v>2013</v>
      </c>
      <c r="B55" s="20" t="s">
        <v>2014</v>
      </c>
      <c r="C55" s="21">
        <v>1</v>
      </c>
      <c r="D55" s="22">
        <v>24.99</v>
      </c>
      <c r="E55" s="21" t="s">
        <v>2015</v>
      </c>
      <c r="F55" s="20" t="s">
        <v>755</v>
      </c>
      <c r="G55" s="19" t="s">
        <v>899</v>
      </c>
      <c r="H55" s="20" t="s">
        <v>745</v>
      </c>
      <c r="I55" s="20" t="s">
        <v>746</v>
      </c>
      <c r="J55" s="20" t="s">
        <v>20</v>
      </c>
      <c r="K55" s="20" t="s">
        <v>2016</v>
      </c>
      <c r="L55" s="23" t="str">
        <f>HYPERLINK("http://slimages.macys.com/is/image/MCY/15494803 ")</f>
        <v xml:space="preserve">http://slimages.macys.com/is/image/MCY/15494803 </v>
      </c>
    </row>
    <row r="56" spans="1:12" ht="24" x14ac:dyDescent="0.25">
      <c r="A56" s="19" t="s">
        <v>2017</v>
      </c>
      <c r="B56" s="20" t="s">
        <v>2018</v>
      </c>
      <c r="C56" s="21">
        <v>1</v>
      </c>
      <c r="D56" s="22">
        <v>24.99</v>
      </c>
      <c r="E56" s="21">
        <v>52484</v>
      </c>
      <c r="F56" s="20" t="s">
        <v>685</v>
      </c>
      <c r="G56" s="19"/>
      <c r="H56" s="20" t="s">
        <v>745</v>
      </c>
      <c r="I56" s="20" t="s">
        <v>1630</v>
      </c>
      <c r="J56" s="20" t="s">
        <v>20</v>
      </c>
      <c r="K56" s="20" t="s">
        <v>396</v>
      </c>
      <c r="L56" s="23" t="str">
        <f>HYPERLINK("http://slimages.macys.com/is/image/MCY/9644106 ")</f>
        <v xml:space="preserve">http://slimages.macys.com/is/image/MCY/9644106 </v>
      </c>
    </row>
    <row r="57" spans="1:12" ht="24" x14ac:dyDescent="0.25">
      <c r="A57" s="19" t="s">
        <v>2019</v>
      </c>
      <c r="B57" s="20" t="s">
        <v>2020</v>
      </c>
      <c r="C57" s="21">
        <v>1</v>
      </c>
      <c r="D57" s="22">
        <v>34.99</v>
      </c>
      <c r="E57" s="21" t="s">
        <v>2021</v>
      </c>
      <c r="F57" s="20" t="s">
        <v>2022</v>
      </c>
      <c r="G57" s="19"/>
      <c r="H57" s="20" t="s">
        <v>745</v>
      </c>
      <c r="I57" s="20" t="s">
        <v>2023</v>
      </c>
      <c r="J57" s="20" t="s">
        <v>20</v>
      </c>
      <c r="K57" s="20" t="s">
        <v>936</v>
      </c>
      <c r="L57" s="23" t="str">
        <f>HYPERLINK("http://slimages.macys.com/is/image/MCY/11685937 ")</f>
        <v xml:space="preserve">http://slimages.macys.com/is/image/MCY/11685937 </v>
      </c>
    </row>
    <row r="58" spans="1:12" ht="24" x14ac:dyDescent="0.25">
      <c r="A58" s="19" t="s">
        <v>2024</v>
      </c>
      <c r="B58" s="20" t="s">
        <v>2025</v>
      </c>
      <c r="C58" s="21">
        <v>2</v>
      </c>
      <c r="D58" s="22">
        <v>47.98</v>
      </c>
      <c r="E58" s="21" t="s">
        <v>2026</v>
      </c>
      <c r="F58" s="20" t="s">
        <v>54</v>
      </c>
      <c r="G58" s="19" t="s">
        <v>1549</v>
      </c>
      <c r="H58" s="20" t="s">
        <v>745</v>
      </c>
      <c r="I58" s="20" t="s">
        <v>2027</v>
      </c>
      <c r="J58" s="20" t="s">
        <v>20</v>
      </c>
      <c r="K58" s="20" t="s">
        <v>798</v>
      </c>
      <c r="L58" s="23" t="str">
        <f>HYPERLINK("http://slimages.macys.com/is/image/MCY/14831951 ")</f>
        <v xml:space="preserve">http://slimages.macys.com/is/image/MCY/14831951 </v>
      </c>
    </row>
    <row r="59" spans="1:12" ht="24" x14ac:dyDescent="0.25">
      <c r="A59" s="19" t="s">
        <v>2028</v>
      </c>
      <c r="B59" s="20" t="s">
        <v>2029</v>
      </c>
      <c r="C59" s="21">
        <v>1</v>
      </c>
      <c r="D59" s="22">
        <v>19.989999999999998</v>
      </c>
      <c r="E59" s="21" t="s">
        <v>2030</v>
      </c>
      <c r="F59" s="20" t="s">
        <v>394</v>
      </c>
      <c r="G59" s="19"/>
      <c r="H59" s="20" t="s">
        <v>865</v>
      </c>
      <c r="I59" s="20" t="s">
        <v>2031</v>
      </c>
      <c r="J59" s="20" t="s">
        <v>20</v>
      </c>
      <c r="K59" s="20" t="s">
        <v>396</v>
      </c>
      <c r="L59" s="23" t="str">
        <f>HYPERLINK("http://slimages.macys.com/is/image/MCY/10020118 ")</f>
        <v xml:space="preserve">http://slimages.macys.com/is/image/MCY/10020118 </v>
      </c>
    </row>
    <row r="60" spans="1:12" ht="24" x14ac:dyDescent="0.25">
      <c r="A60" s="19" t="s">
        <v>2032</v>
      </c>
      <c r="B60" s="20" t="s">
        <v>2033</v>
      </c>
      <c r="C60" s="21">
        <v>1</v>
      </c>
      <c r="D60" s="22">
        <v>15.99</v>
      </c>
      <c r="E60" s="21">
        <v>53452</v>
      </c>
      <c r="F60" s="20" t="s">
        <v>555</v>
      </c>
      <c r="G60" s="19"/>
      <c r="H60" s="20" t="s">
        <v>745</v>
      </c>
      <c r="I60" s="20" t="s">
        <v>1630</v>
      </c>
      <c r="J60" s="20" t="s">
        <v>20</v>
      </c>
      <c r="K60" s="20" t="s">
        <v>396</v>
      </c>
      <c r="L60" s="23" t="str">
        <f>HYPERLINK("http://slimages.macys.com/is/image/MCY/10010137 ")</f>
        <v xml:space="preserve">http://slimages.macys.com/is/image/MCY/10010137 </v>
      </c>
    </row>
    <row r="61" spans="1:12" ht="24" x14ac:dyDescent="0.25">
      <c r="A61" s="19" t="s">
        <v>2034</v>
      </c>
      <c r="B61" s="20" t="s">
        <v>2035</v>
      </c>
      <c r="C61" s="21">
        <v>1</v>
      </c>
      <c r="D61" s="22">
        <v>18.989999999999998</v>
      </c>
      <c r="E61" s="21" t="s">
        <v>2036</v>
      </c>
      <c r="F61" s="20" t="s">
        <v>685</v>
      </c>
      <c r="G61" s="19"/>
      <c r="H61" s="20" t="s">
        <v>865</v>
      </c>
      <c r="I61" s="20" t="s">
        <v>814</v>
      </c>
      <c r="J61" s="20" t="s">
        <v>20</v>
      </c>
      <c r="K61" s="20" t="s">
        <v>2012</v>
      </c>
      <c r="L61" s="23" t="str">
        <f>HYPERLINK("http://slimages.macys.com/is/image/MCY/13533961 ")</f>
        <v xml:space="preserve">http://slimages.macys.com/is/image/MCY/13533961 </v>
      </c>
    </row>
    <row r="62" spans="1:12" ht="24" x14ac:dyDescent="0.25">
      <c r="A62" s="19" t="s">
        <v>2037</v>
      </c>
      <c r="B62" s="20" t="s">
        <v>2038</v>
      </c>
      <c r="C62" s="21">
        <v>3</v>
      </c>
      <c r="D62" s="22">
        <v>59.97</v>
      </c>
      <c r="E62" s="21" t="s">
        <v>2039</v>
      </c>
      <c r="F62" s="20" t="s">
        <v>78</v>
      </c>
      <c r="G62" s="19" t="s">
        <v>1012</v>
      </c>
      <c r="H62" s="20" t="s">
        <v>916</v>
      </c>
      <c r="I62" s="20" t="s">
        <v>917</v>
      </c>
      <c r="J62" s="20" t="s">
        <v>20</v>
      </c>
      <c r="K62" s="20" t="s">
        <v>330</v>
      </c>
      <c r="L62" s="23" t="str">
        <f>HYPERLINK("http://slimages.macys.com/is/image/MCY/13285490 ")</f>
        <v xml:space="preserve">http://slimages.macys.com/is/image/MCY/13285490 </v>
      </c>
    </row>
    <row r="63" spans="1:12" ht="24" x14ac:dyDescent="0.25">
      <c r="A63" s="19" t="s">
        <v>2040</v>
      </c>
      <c r="B63" s="20" t="s">
        <v>2041</v>
      </c>
      <c r="C63" s="21">
        <v>1</v>
      </c>
      <c r="D63" s="22">
        <v>14.99</v>
      </c>
      <c r="E63" s="21" t="s">
        <v>2042</v>
      </c>
      <c r="F63" s="20" t="s">
        <v>89</v>
      </c>
      <c r="G63" s="19"/>
      <c r="H63" s="20" t="s">
        <v>865</v>
      </c>
      <c r="I63" s="20" t="s">
        <v>2043</v>
      </c>
      <c r="J63" s="20" t="s">
        <v>20</v>
      </c>
      <c r="K63" s="20" t="s">
        <v>396</v>
      </c>
      <c r="L63" s="23" t="str">
        <f>HYPERLINK("http://slimages.macys.com/is/image/MCY/9092086 ")</f>
        <v xml:space="preserve">http://slimages.macys.com/is/image/MCY/9092086 </v>
      </c>
    </row>
    <row r="64" spans="1:12" ht="24" x14ac:dyDescent="0.25">
      <c r="A64" s="19" t="s">
        <v>2044</v>
      </c>
      <c r="B64" s="20" t="s">
        <v>2045</v>
      </c>
      <c r="C64" s="21">
        <v>1</v>
      </c>
      <c r="D64" s="22">
        <v>14.99</v>
      </c>
      <c r="E64" s="21" t="s">
        <v>1766</v>
      </c>
      <c r="F64" s="20" t="s">
        <v>755</v>
      </c>
      <c r="G64" s="19" t="s">
        <v>954</v>
      </c>
      <c r="H64" s="20" t="s">
        <v>916</v>
      </c>
      <c r="I64" s="20" t="s">
        <v>1561</v>
      </c>
      <c r="J64" s="20" t="s">
        <v>20</v>
      </c>
      <c r="K64" s="20" t="s">
        <v>341</v>
      </c>
      <c r="L64" s="23" t="str">
        <f>HYPERLINK("http://slimages.macys.com/is/image/MCY/11946722 ")</f>
        <v xml:space="preserve">http://slimages.macys.com/is/image/MCY/11946722 </v>
      </c>
    </row>
    <row r="65" spans="1:12" ht="24" x14ac:dyDescent="0.25">
      <c r="A65" s="19" t="s">
        <v>2046</v>
      </c>
      <c r="B65" s="20" t="s">
        <v>2047</v>
      </c>
      <c r="C65" s="21">
        <v>1</v>
      </c>
      <c r="D65" s="22">
        <v>8.99</v>
      </c>
      <c r="E65" s="21" t="s">
        <v>2048</v>
      </c>
      <c r="F65" s="20" t="s">
        <v>89</v>
      </c>
      <c r="G65" s="19" t="s">
        <v>2049</v>
      </c>
      <c r="H65" s="20" t="s">
        <v>940</v>
      </c>
      <c r="I65" s="20" t="s">
        <v>2050</v>
      </c>
      <c r="J65" s="20" t="s">
        <v>20</v>
      </c>
      <c r="K65" s="20" t="s">
        <v>330</v>
      </c>
      <c r="L65" s="23" t="str">
        <f>HYPERLINK("http://slimages.macys.com/is/image/MCY/1412025 ")</f>
        <v xml:space="preserve">http://slimages.macys.com/is/image/MCY/1412025 </v>
      </c>
    </row>
    <row r="66" spans="1:12" ht="24" x14ac:dyDescent="0.25">
      <c r="A66" s="19" t="s">
        <v>2051</v>
      </c>
      <c r="B66" s="20" t="s">
        <v>2052</v>
      </c>
      <c r="C66" s="21">
        <v>1</v>
      </c>
      <c r="D66" s="22">
        <v>5.99</v>
      </c>
      <c r="E66" s="21">
        <v>1009787500</v>
      </c>
      <c r="F66" s="20" t="s">
        <v>1031</v>
      </c>
      <c r="G66" s="19" t="s">
        <v>954</v>
      </c>
      <c r="H66" s="20" t="s">
        <v>916</v>
      </c>
      <c r="I66" s="20" t="s">
        <v>1018</v>
      </c>
      <c r="J66" s="20"/>
      <c r="K66" s="20"/>
      <c r="L66" s="23" t="str">
        <f>HYPERLINK("http://slimages.macys.com/is/image/MCY/16520310 ")</f>
        <v xml:space="preserve">http://slimages.macys.com/is/image/MCY/16520310 </v>
      </c>
    </row>
    <row r="67" spans="1:12" ht="36" x14ac:dyDescent="0.25">
      <c r="A67" s="19" t="s">
        <v>2053</v>
      </c>
      <c r="B67" s="20" t="s">
        <v>2054</v>
      </c>
      <c r="C67" s="21">
        <v>1</v>
      </c>
      <c r="D67" s="22">
        <v>6.99</v>
      </c>
      <c r="E67" s="21">
        <v>1002300500</v>
      </c>
      <c r="F67" s="20" t="s">
        <v>2055</v>
      </c>
      <c r="G67" s="19" t="s">
        <v>1179</v>
      </c>
      <c r="H67" s="20" t="s">
        <v>916</v>
      </c>
      <c r="I67" s="20" t="s">
        <v>1561</v>
      </c>
      <c r="J67" s="20" t="s">
        <v>20</v>
      </c>
      <c r="K67" s="20" t="s">
        <v>798</v>
      </c>
      <c r="L67" s="23" t="str">
        <f>HYPERLINK("http://slimages.macys.com/is/image/MCY/9837819 ")</f>
        <v xml:space="preserve">http://slimages.macys.com/is/image/MCY/9837819 </v>
      </c>
    </row>
    <row r="68" spans="1:12" ht="36" x14ac:dyDescent="0.25">
      <c r="A68" s="19" t="s">
        <v>2056</v>
      </c>
      <c r="B68" s="20" t="s">
        <v>2057</v>
      </c>
      <c r="C68" s="21">
        <v>1</v>
      </c>
      <c r="D68" s="22">
        <v>7.99</v>
      </c>
      <c r="E68" s="21">
        <v>1005083000</v>
      </c>
      <c r="F68" s="20" t="s">
        <v>2055</v>
      </c>
      <c r="G68" s="19" t="s">
        <v>1179</v>
      </c>
      <c r="H68" s="20" t="s">
        <v>916</v>
      </c>
      <c r="I68" s="20" t="s">
        <v>1561</v>
      </c>
      <c r="J68" s="20" t="s">
        <v>20</v>
      </c>
      <c r="K68" s="20" t="s">
        <v>1652</v>
      </c>
      <c r="L68" s="23" t="str">
        <f>HYPERLINK("http://slimages.macys.com/is/image/MCY/11709733 ")</f>
        <v xml:space="preserve">http://slimages.macys.com/is/image/MCY/11709733 </v>
      </c>
    </row>
    <row r="69" spans="1:12" ht="24" x14ac:dyDescent="0.25">
      <c r="A69" s="19" t="s">
        <v>2058</v>
      </c>
      <c r="B69" s="20" t="s">
        <v>2059</v>
      </c>
      <c r="C69" s="21">
        <v>1</v>
      </c>
      <c r="D69" s="22">
        <v>279.99</v>
      </c>
      <c r="E69" s="21" t="s">
        <v>2060</v>
      </c>
      <c r="F69" s="20" t="s">
        <v>555</v>
      </c>
      <c r="G69" s="19"/>
      <c r="H69" s="20" t="s">
        <v>707</v>
      </c>
      <c r="I69" s="20" t="s">
        <v>874</v>
      </c>
      <c r="J69" s="20"/>
      <c r="K69" s="20"/>
      <c r="L69" s="23"/>
    </row>
    <row r="70" spans="1:12" ht="36" x14ac:dyDescent="0.25">
      <c r="A70" s="19" t="s">
        <v>2061</v>
      </c>
      <c r="B70" s="20" t="s">
        <v>2062</v>
      </c>
      <c r="C70" s="21">
        <v>1</v>
      </c>
      <c r="D70" s="22">
        <v>79.989999999999995</v>
      </c>
      <c r="E70" s="21" t="s">
        <v>2063</v>
      </c>
      <c r="F70" s="20" t="s">
        <v>922</v>
      </c>
      <c r="G70" s="19"/>
      <c r="H70" s="20" t="s">
        <v>700</v>
      </c>
      <c r="I70" s="20" t="s">
        <v>2064</v>
      </c>
      <c r="J70" s="20"/>
      <c r="K70" s="20"/>
      <c r="L70" s="23"/>
    </row>
    <row r="71" spans="1:12" ht="24" x14ac:dyDescent="0.25">
      <c r="A71" s="19" t="s">
        <v>2065</v>
      </c>
      <c r="B71" s="20" t="s">
        <v>2066</v>
      </c>
      <c r="C71" s="21">
        <v>1</v>
      </c>
      <c r="D71" s="22">
        <v>59.99</v>
      </c>
      <c r="E71" s="21" t="s">
        <v>2067</v>
      </c>
      <c r="F71" s="20" t="s">
        <v>89</v>
      </c>
      <c r="G71" s="19"/>
      <c r="H71" s="20" t="s">
        <v>718</v>
      </c>
      <c r="I71" s="20" t="s">
        <v>806</v>
      </c>
      <c r="J71" s="20"/>
      <c r="K71" s="20"/>
      <c r="L71" s="23"/>
    </row>
    <row r="72" spans="1:12" ht="24" x14ac:dyDescent="0.25">
      <c r="A72" s="19" t="s">
        <v>1019</v>
      </c>
      <c r="B72" s="20" t="s">
        <v>694</v>
      </c>
      <c r="C72" s="21">
        <v>6</v>
      </c>
      <c r="D72" s="22">
        <v>240</v>
      </c>
      <c r="E72" s="21"/>
      <c r="F72" s="20" t="s">
        <v>16</v>
      </c>
      <c r="G72" s="19" t="s">
        <v>17</v>
      </c>
      <c r="H72" s="20" t="s">
        <v>695</v>
      </c>
      <c r="I72" s="20" t="s">
        <v>696</v>
      </c>
      <c r="J72" s="20"/>
      <c r="K72" s="20"/>
      <c r="L72" s="23"/>
    </row>
    <row r="73" spans="1:12" ht="36" x14ac:dyDescent="0.25">
      <c r="A73" s="19" t="s">
        <v>2068</v>
      </c>
      <c r="B73" s="20" t="s">
        <v>2069</v>
      </c>
      <c r="C73" s="21">
        <v>1</v>
      </c>
      <c r="D73" s="22">
        <v>24.99</v>
      </c>
      <c r="E73" s="21" t="s">
        <v>2070</v>
      </c>
      <c r="F73" s="20" t="s">
        <v>850</v>
      </c>
      <c r="G73" s="19"/>
      <c r="H73" s="20" t="s">
        <v>745</v>
      </c>
      <c r="I73" s="20" t="s">
        <v>1576</v>
      </c>
      <c r="J73" s="20"/>
      <c r="K73" s="20"/>
      <c r="L73" s="23"/>
    </row>
    <row r="74" spans="1:12" ht="24" x14ac:dyDescent="0.25">
      <c r="A74" s="19" t="s">
        <v>2071</v>
      </c>
      <c r="B74" s="20" t="s">
        <v>2072</v>
      </c>
      <c r="C74" s="21">
        <v>1</v>
      </c>
      <c r="D74" s="22">
        <v>7.99</v>
      </c>
      <c r="E74" s="21" t="s">
        <v>2073</v>
      </c>
      <c r="F74" s="20" t="s">
        <v>610</v>
      </c>
      <c r="G74" s="19"/>
      <c r="H74" s="20" t="s">
        <v>718</v>
      </c>
      <c r="I74" s="20" t="s">
        <v>2074</v>
      </c>
      <c r="J74" s="20"/>
      <c r="K74" s="20"/>
      <c r="L74" s="23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6"/>
  <sheetViews>
    <sheetView workbookViewId="0">
      <selection activeCell="H2" sqref="H2"/>
    </sheetView>
  </sheetViews>
  <sheetFormatPr defaultRowHeight="15" x14ac:dyDescent="0.25"/>
  <cols>
    <col min="1" max="1" width="14.28515625" customWidth="1"/>
    <col min="2" max="2" width="22.28515625" customWidth="1"/>
    <col min="3" max="3" width="15" customWidth="1"/>
    <col min="4" max="4" width="10.28515625" customWidth="1"/>
    <col min="5" max="5" width="17.140625" customWidth="1"/>
    <col min="6" max="6" width="11.42578125" customWidth="1"/>
    <col min="7" max="7" width="10.85546875" customWidth="1"/>
    <col min="8" max="8" width="12.140625" customWidth="1"/>
    <col min="9" max="9" width="36.5703125" bestFit="1" customWidth="1"/>
    <col min="10" max="11" width="20.7109375" customWidth="1"/>
    <col min="12" max="12" width="26.7109375" customWidth="1"/>
  </cols>
  <sheetData>
    <row r="1" spans="1:12" ht="36" x14ac:dyDescent="0.25">
      <c r="A1" s="18" t="s">
        <v>2</v>
      </c>
      <c r="B1" s="18" t="s">
        <v>3</v>
      </c>
      <c r="C1" s="18" t="s">
        <v>4</v>
      </c>
      <c r="D1" s="18" t="s">
        <v>5</v>
      </c>
      <c r="E1" s="18" t="s">
        <v>6</v>
      </c>
      <c r="F1" s="18" t="s">
        <v>7</v>
      </c>
      <c r="G1" s="18" t="s">
        <v>8</v>
      </c>
      <c r="H1" s="18" t="s">
        <v>9</v>
      </c>
      <c r="I1" s="18" t="s">
        <v>10</v>
      </c>
      <c r="J1" s="18" t="s">
        <v>11</v>
      </c>
      <c r="K1" s="18" t="s">
        <v>12</v>
      </c>
      <c r="L1" s="18" t="s">
        <v>13</v>
      </c>
    </row>
    <row r="2" spans="1:12" ht="84" x14ac:dyDescent="0.25">
      <c r="A2" s="19" t="s">
        <v>2075</v>
      </c>
      <c r="B2" s="20" t="s">
        <v>2076</v>
      </c>
      <c r="C2" s="21">
        <v>5</v>
      </c>
      <c r="D2" s="22">
        <v>569.95000000000005</v>
      </c>
      <c r="E2" s="21" t="s">
        <v>2077</v>
      </c>
      <c r="F2" s="20" t="s">
        <v>600</v>
      </c>
      <c r="G2" s="19"/>
      <c r="H2" s="20" t="s">
        <v>712</v>
      </c>
      <c r="I2" s="20" t="s">
        <v>746</v>
      </c>
      <c r="J2" s="20" t="s">
        <v>20</v>
      </c>
      <c r="K2" s="20" t="s">
        <v>2078</v>
      </c>
      <c r="L2" s="23" t="str">
        <f>HYPERLINK("http://slimages.macys.com/is/image/MCY/9798733 ")</f>
        <v xml:space="preserve">http://slimages.macys.com/is/image/MCY/9798733 </v>
      </c>
    </row>
    <row r="3" spans="1:12" ht="36" x14ac:dyDescent="0.25">
      <c r="A3" s="19" t="s">
        <v>2079</v>
      </c>
      <c r="B3" s="20" t="s">
        <v>2080</v>
      </c>
      <c r="C3" s="21">
        <v>2</v>
      </c>
      <c r="D3" s="22">
        <v>143.97999999999999</v>
      </c>
      <c r="E3" s="21" t="s">
        <v>2081</v>
      </c>
      <c r="F3" s="20" t="s">
        <v>1321</v>
      </c>
      <c r="G3" s="19" t="s">
        <v>360</v>
      </c>
      <c r="H3" s="20" t="s">
        <v>745</v>
      </c>
      <c r="I3" s="20" t="s">
        <v>2082</v>
      </c>
      <c r="J3" s="20" t="s">
        <v>1067</v>
      </c>
      <c r="K3" s="20" t="s">
        <v>2083</v>
      </c>
      <c r="L3" s="23" t="str">
        <f>HYPERLINK("http://slimages.macys.com/is/image/MCY/16367047 ")</f>
        <v xml:space="preserve">http://slimages.macys.com/is/image/MCY/16367047 </v>
      </c>
    </row>
    <row r="4" spans="1:12" ht="24" x14ac:dyDescent="0.25">
      <c r="A4" s="19" t="s">
        <v>2084</v>
      </c>
      <c r="B4" s="20" t="s">
        <v>2085</v>
      </c>
      <c r="C4" s="21">
        <v>2</v>
      </c>
      <c r="D4" s="22">
        <v>131.97999999999999</v>
      </c>
      <c r="E4" s="21" t="s">
        <v>2086</v>
      </c>
      <c r="F4" s="20" t="s">
        <v>394</v>
      </c>
      <c r="G4" s="19" t="s">
        <v>360</v>
      </c>
      <c r="H4" s="20" t="s">
        <v>745</v>
      </c>
      <c r="I4" s="20" t="s">
        <v>2082</v>
      </c>
      <c r="J4" s="20" t="s">
        <v>1067</v>
      </c>
      <c r="K4" s="20" t="s">
        <v>2083</v>
      </c>
      <c r="L4" s="23" t="str">
        <f>HYPERLINK("http://slimages.macys.com/is/image/MCY/16368086 ")</f>
        <v xml:space="preserve">http://slimages.macys.com/is/image/MCY/16368086 </v>
      </c>
    </row>
    <row r="5" spans="1:12" ht="36" x14ac:dyDescent="0.25">
      <c r="A5" s="19" t="s">
        <v>2087</v>
      </c>
      <c r="B5" s="20" t="s">
        <v>2088</v>
      </c>
      <c r="C5" s="21">
        <v>2</v>
      </c>
      <c r="D5" s="22">
        <v>79.98</v>
      </c>
      <c r="E5" s="21" t="s">
        <v>2089</v>
      </c>
      <c r="F5" s="20" t="s">
        <v>685</v>
      </c>
      <c r="G5" s="19" t="s">
        <v>360</v>
      </c>
      <c r="H5" s="20" t="s">
        <v>745</v>
      </c>
      <c r="I5" s="20" t="s">
        <v>2082</v>
      </c>
      <c r="J5" s="20" t="s">
        <v>1067</v>
      </c>
      <c r="K5" s="20" t="s">
        <v>2083</v>
      </c>
      <c r="L5" s="23" t="str">
        <f>HYPERLINK("http://slimages.macys.com/is/image/MCY/16368197 ")</f>
        <v xml:space="preserve">http://slimages.macys.com/is/image/MCY/16368197 </v>
      </c>
    </row>
    <row r="6" spans="1:12" ht="36" x14ac:dyDescent="0.25">
      <c r="A6" s="19" t="s">
        <v>2090</v>
      </c>
      <c r="B6" s="20" t="s">
        <v>2091</v>
      </c>
      <c r="C6" s="21">
        <v>1</v>
      </c>
      <c r="D6" s="22">
        <v>39.99</v>
      </c>
      <c r="E6" s="21" t="s">
        <v>2092</v>
      </c>
      <c r="F6" s="20" t="s">
        <v>685</v>
      </c>
      <c r="G6" s="19" t="s">
        <v>360</v>
      </c>
      <c r="H6" s="20" t="s">
        <v>745</v>
      </c>
      <c r="I6" s="20" t="s">
        <v>2082</v>
      </c>
      <c r="J6" s="20" t="s">
        <v>1067</v>
      </c>
      <c r="K6" s="20" t="s">
        <v>2093</v>
      </c>
      <c r="L6" s="23" t="str">
        <f>HYPERLINK("http://slimages.macys.com/is/image/MCY/16367491 ")</f>
        <v xml:space="preserve">http://slimages.macys.com/is/image/MCY/16367491 </v>
      </c>
    </row>
    <row r="7" spans="1:12" ht="36" x14ac:dyDescent="0.25">
      <c r="A7" s="19" t="s">
        <v>2094</v>
      </c>
      <c r="B7" s="20" t="s">
        <v>2095</v>
      </c>
      <c r="C7" s="21">
        <v>2</v>
      </c>
      <c r="D7" s="22">
        <v>73.98</v>
      </c>
      <c r="E7" s="21" t="s">
        <v>2096</v>
      </c>
      <c r="F7" s="20" t="s">
        <v>674</v>
      </c>
      <c r="G7" s="19" t="s">
        <v>2097</v>
      </c>
      <c r="H7" s="20" t="s">
        <v>745</v>
      </c>
      <c r="I7" s="20" t="s">
        <v>2082</v>
      </c>
      <c r="J7" s="20" t="s">
        <v>1067</v>
      </c>
      <c r="K7" s="20" t="s">
        <v>2098</v>
      </c>
      <c r="L7" s="23" t="str">
        <f>HYPERLINK("http://slimages.macys.com/is/image/MCY/16368359 ")</f>
        <v xml:space="preserve">http://slimages.macys.com/is/image/MCY/16368359 </v>
      </c>
    </row>
    <row r="8" spans="1:12" ht="36" x14ac:dyDescent="0.25">
      <c r="A8" s="19" t="s">
        <v>2099</v>
      </c>
      <c r="B8" s="20" t="s">
        <v>2100</v>
      </c>
      <c r="C8" s="21">
        <v>2</v>
      </c>
      <c r="D8" s="22">
        <v>55.98</v>
      </c>
      <c r="E8" s="21" t="s">
        <v>2101</v>
      </c>
      <c r="F8" s="20" t="s">
        <v>394</v>
      </c>
      <c r="G8" s="19" t="s">
        <v>360</v>
      </c>
      <c r="H8" s="20" t="s">
        <v>745</v>
      </c>
      <c r="I8" s="20" t="s">
        <v>2082</v>
      </c>
      <c r="J8" s="20" t="s">
        <v>1067</v>
      </c>
      <c r="K8" s="20" t="s">
        <v>396</v>
      </c>
      <c r="L8" s="23" t="str">
        <f>HYPERLINK("http://slimages.macys.com/is/image/MCY/16367432 ")</f>
        <v xml:space="preserve">http://slimages.macys.com/is/image/MCY/16367432 </v>
      </c>
    </row>
    <row r="9" spans="1:12" x14ac:dyDescent="0.25">
      <c r="A9" s="4"/>
      <c r="B9" s="5"/>
      <c r="C9" s="6"/>
      <c r="D9" s="7"/>
      <c r="E9" s="6"/>
      <c r="F9" s="5"/>
      <c r="G9" s="8"/>
      <c r="H9" s="5"/>
      <c r="I9" s="5"/>
      <c r="J9" s="5"/>
      <c r="K9" s="5"/>
      <c r="L9" s="9"/>
    </row>
    <row r="10" spans="1:12" x14ac:dyDescent="0.25">
      <c r="A10" s="4"/>
      <c r="B10" s="5"/>
      <c r="C10" s="6"/>
      <c r="D10" s="7"/>
      <c r="E10" s="6"/>
      <c r="F10" s="5"/>
      <c r="G10" s="8"/>
      <c r="H10" s="5"/>
      <c r="I10" s="5"/>
      <c r="J10" s="5"/>
      <c r="K10" s="5"/>
      <c r="L10" s="9"/>
    </row>
    <row r="11" spans="1:12" x14ac:dyDescent="0.25">
      <c r="A11" s="4"/>
      <c r="B11" s="5"/>
      <c r="C11" s="6"/>
      <c r="D11" s="7"/>
      <c r="E11" s="6"/>
      <c r="F11" s="5"/>
      <c r="G11" s="8"/>
      <c r="H11" s="5"/>
      <c r="I11" s="5"/>
      <c r="J11" s="5"/>
      <c r="K11" s="5"/>
      <c r="L11" s="9"/>
    </row>
    <row r="12" spans="1:12" x14ac:dyDescent="0.25">
      <c r="A12" s="4"/>
      <c r="B12" s="5"/>
      <c r="C12" s="6"/>
      <c r="D12" s="7"/>
      <c r="E12" s="6"/>
      <c r="F12" s="5"/>
      <c r="G12" s="8"/>
      <c r="H12" s="5"/>
      <c r="I12" s="5"/>
      <c r="J12" s="5"/>
      <c r="K12" s="5"/>
      <c r="L12" s="9"/>
    </row>
    <row r="13" spans="1:12" x14ac:dyDescent="0.25">
      <c r="A13" s="4"/>
      <c r="B13" s="5"/>
      <c r="C13" s="6"/>
      <c r="D13" s="7"/>
      <c r="E13" s="6"/>
      <c r="F13" s="5"/>
      <c r="G13" s="8"/>
      <c r="H13" s="5"/>
      <c r="I13" s="5"/>
      <c r="J13" s="5"/>
      <c r="K13" s="5"/>
      <c r="L13" s="9"/>
    </row>
    <row r="14" spans="1:12" x14ac:dyDescent="0.25">
      <c r="A14" s="4"/>
      <c r="B14" s="5"/>
      <c r="C14" s="6"/>
      <c r="D14" s="7"/>
      <c r="E14" s="6"/>
      <c r="F14" s="5"/>
      <c r="G14" s="8"/>
      <c r="H14" s="5"/>
      <c r="I14" s="5"/>
      <c r="J14" s="5"/>
      <c r="K14" s="5"/>
      <c r="L14" s="9"/>
    </row>
    <row r="15" spans="1:12" x14ac:dyDescent="0.25">
      <c r="A15" s="4"/>
      <c r="B15" s="5"/>
      <c r="C15" s="6"/>
      <c r="D15" s="7"/>
      <c r="E15" s="6"/>
      <c r="F15" s="5"/>
      <c r="G15" s="8"/>
      <c r="H15" s="5"/>
      <c r="I15" s="5"/>
      <c r="J15" s="5"/>
      <c r="K15" s="5"/>
      <c r="L15" s="9"/>
    </row>
    <row r="16" spans="1:12" x14ac:dyDescent="0.25">
      <c r="A16" s="4"/>
      <c r="B16" s="5"/>
      <c r="C16" s="6"/>
      <c r="D16" s="7"/>
      <c r="E16" s="6"/>
      <c r="F16" s="5"/>
      <c r="G16" s="8"/>
      <c r="H16" s="5"/>
      <c r="I16" s="5"/>
      <c r="J16" s="5"/>
      <c r="K16" s="5"/>
      <c r="L16" s="9"/>
    </row>
    <row r="17" spans="1:12" x14ac:dyDescent="0.25">
      <c r="A17" s="4"/>
      <c r="B17" s="5"/>
      <c r="C17" s="6"/>
      <c r="D17" s="7"/>
      <c r="E17" s="6"/>
      <c r="F17" s="5"/>
      <c r="G17" s="8"/>
      <c r="H17" s="5"/>
      <c r="I17" s="5"/>
      <c r="J17" s="5"/>
      <c r="K17" s="5"/>
      <c r="L17" s="9"/>
    </row>
    <row r="18" spans="1:12" x14ac:dyDescent="0.25">
      <c r="A18" s="4"/>
      <c r="B18" s="5"/>
      <c r="C18" s="6"/>
      <c r="D18" s="7"/>
      <c r="E18" s="6"/>
      <c r="F18" s="5"/>
      <c r="G18" s="8"/>
      <c r="H18" s="5"/>
      <c r="I18" s="5"/>
      <c r="J18" s="5"/>
      <c r="K18" s="5"/>
      <c r="L18" s="9"/>
    </row>
    <row r="19" spans="1:12" x14ac:dyDescent="0.25">
      <c r="A19" s="4"/>
      <c r="B19" s="5"/>
      <c r="C19" s="6"/>
      <c r="D19" s="7"/>
      <c r="E19" s="6"/>
      <c r="F19" s="5"/>
      <c r="G19" s="8"/>
      <c r="H19" s="5"/>
      <c r="I19" s="5"/>
      <c r="J19" s="5"/>
      <c r="K19" s="5"/>
      <c r="L19" s="9"/>
    </row>
    <row r="20" spans="1:12" x14ac:dyDescent="0.25">
      <c r="A20" s="4"/>
      <c r="B20" s="5"/>
      <c r="C20" s="6"/>
      <c r="D20" s="7"/>
      <c r="E20" s="6"/>
      <c r="F20" s="5"/>
      <c r="G20" s="8"/>
      <c r="H20" s="5"/>
      <c r="I20" s="5"/>
      <c r="J20" s="5"/>
      <c r="K20" s="5"/>
      <c r="L20" s="9"/>
    </row>
    <row r="21" spans="1:12" x14ac:dyDescent="0.25">
      <c r="A21" s="4"/>
      <c r="B21" s="5"/>
      <c r="C21" s="6"/>
      <c r="D21" s="7"/>
      <c r="E21" s="6"/>
      <c r="F21" s="5"/>
      <c r="G21" s="8"/>
      <c r="H21" s="5"/>
      <c r="I21" s="5"/>
      <c r="J21" s="5"/>
      <c r="K21" s="5"/>
      <c r="L21" s="9"/>
    </row>
    <row r="22" spans="1:12" x14ac:dyDescent="0.25">
      <c r="A22" s="4"/>
      <c r="B22" s="5"/>
      <c r="C22" s="6"/>
      <c r="D22" s="7"/>
      <c r="E22" s="6"/>
      <c r="F22" s="5"/>
      <c r="G22" s="8"/>
      <c r="H22" s="5"/>
      <c r="I22" s="5"/>
      <c r="J22" s="5"/>
      <c r="K22" s="5"/>
      <c r="L22" s="9"/>
    </row>
    <row r="23" spans="1:12" x14ac:dyDescent="0.25">
      <c r="A23" s="4"/>
      <c r="B23" s="5"/>
      <c r="C23" s="6"/>
      <c r="D23" s="7"/>
      <c r="E23" s="6"/>
      <c r="F23" s="5"/>
      <c r="G23" s="8"/>
      <c r="H23" s="5"/>
      <c r="I23" s="5"/>
      <c r="J23" s="5"/>
      <c r="K23" s="5"/>
      <c r="L23" s="9"/>
    </row>
    <row r="24" spans="1:12" x14ac:dyDescent="0.25">
      <c r="A24" s="4"/>
      <c r="B24" s="5"/>
      <c r="C24" s="6"/>
      <c r="D24" s="7"/>
      <c r="E24" s="6"/>
      <c r="F24" s="5"/>
      <c r="G24" s="8"/>
      <c r="H24" s="5"/>
      <c r="I24" s="5"/>
      <c r="J24" s="5"/>
      <c r="K24" s="5"/>
      <c r="L24" s="9"/>
    </row>
    <row r="25" spans="1:12" x14ac:dyDescent="0.25">
      <c r="A25" s="4"/>
      <c r="B25" s="5"/>
      <c r="C25" s="6"/>
      <c r="D25" s="7"/>
      <c r="E25" s="6"/>
      <c r="F25" s="5"/>
      <c r="G25" s="8"/>
      <c r="H25" s="5"/>
      <c r="I25" s="5"/>
      <c r="J25" s="5"/>
      <c r="K25" s="5"/>
      <c r="L25" s="9"/>
    </row>
    <row r="26" spans="1:12" x14ac:dyDescent="0.25">
      <c r="A26" s="4"/>
      <c r="B26" s="5"/>
      <c r="C26" s="6"/>
      <c r="D26" s="7"/>
      <c r="E26" s="6"/>
      <c r="F26" s="5"/>
      <c r="G26" s="8"/>
      <c r="H26" s="5"/>
      <c r="I26" s="5"/>
      <c r="J26" s="5"/>
      <c r="K26" s="5"/>
      <c r="L26" s="9"/>
    </row>
    <row r="27" spans="1:12" x14ac:dyDescent="0.25">
      <c r="A27" s="4"/>
      <c r="B27" s="5"/>
      <c r="C27" s="6"/>
      <c r="D27" s="7"/>
      <c r="E27" s="6"/>
      <c r="F27" s="5"/>
      <c r="G27" s="8"/>
      <c r="H27" s="5"/>
      <c r="I27" s="5"/>
      <c r="J27" s="5"/>
      <c r="K27" s="5"/>
      <c r="L27" s="9"/>
    </row>
    <row r="28" spans="1:12" x14ac:dyDescent="0.25">
      <c r="A28" s="4"/>
      <c r="B28" s="5"/>
      <c r="C28" s="6"/>
      <c r="D28" s="7"/>
      <c r="E28" s="6"/>
      <c r="F28" s="5"/>
      <c r="G28" s="8"/>
      <c r="H28" s="5"/>
      <c r="I28" s="5"/>
      <c r="J28" s="5"/>
      <c r="K28" s="5"/>
      <c r="L28" s="9"/>
    </row>
    <row r="29" spans="1:12" x14ac:dyDescent="0.25">
      <c r="A29" s="4"/>
      <c r="B29" s="5"/>
      <c r="C29" s="6"/>
      <c r="D29" s="7"/>
      <c r="E29" s="6"/>
      <c r="F29" s="5"/>
      <c r="G29" s="8"/>
      <c r="H29" s="5"/>
      <c r="I29" s="5"/>
      <c r="J29" s="5"/>
      <c r="K29" s="5"/>
      <c r="L29" s="9"/>
    </row>
    <row r="30" spans="1:12" x14ac:dyDescent="0.25">
      <c r="A30" s="4"/>
      <c r="B30" s="5"/>
      <c r="C30" s="6"/>
      <c r="D30" s="7"/>
      <c r="E30" s="6"/>
      <c r="F30" s="5"/>
      <c r="G30" s="8"/>
      <c r="H30" s="5"/>
      <c r="I30" s="5"/>
      <c r="J30" s="5"/>
      <c r="K30" s="5"/>
      <c r="L30" s="9"/>
    </row>
    <row r="31" spans="1:12" x14ac:dyDescent="0.25">
      <c r="A31" s="4"/>
      <c r="B31" s="5"/>
      <c r="C31" s="6"/>
      <c r="D31" s="7"/>
      <c r="E31" s="6"/>
      <c r="F31" s="5"/>
      <c r="G31" s="8"/>
      <c r="H31" s="5"/>
      <c r="I31" s="5"/>
      <c r="J31" s="5"/>
      <c r="K31" s="5"/>
      <c r="L31" s="9"/>
    </row>
    <row r="32" spans="1:12" x14ac:dyDescent="0.25">
      <c r="A32" s="4"/>
      <c r="B32" s="5"/>
      <c r="C32" s="6"/>
      <c r="D32" s="7"/>
      <c r="E32" s="6"/>
      <c r="F32" s="5"/>
      <c r="G32" s="8"/>
      <c r="H32" s="5"/>
      <c r="I32" s="5"/>
      <c r="J32" s="5"/>
      <c r="K32" s="5"/>
      <c r="L32" s="9"/>
    </row>
    <row r="33" spans="1:12" x14ac:dyDescent="0.25">
      <c r="A33" s="4"/>
      <c r="B33" s="5"/>
      <c r="C33" s="6"/>
      <c r="D33" s="7"/>
      <c r="E33" s="6"/>
      <c r="F33" s="5"/>
      <c r="G33" s="8"/>
      <c r="H33" s="5"/>
      <c r="I33" s="5"/>
      <c r="J33" s="5"/>
      <c r="K33" s="5"/>
      <c r="L33" s="9"/>
    </row>
    <row r="34" spans="1:12" x14ac:dyDescent="0.25">
      <c r="A34" s="4"/>
      <c r="B34" s="5"/>
      <c r="C34" s="6"/>
      <c r="D34" s="7"/>
      <c r="E34" s="6"/>
      <c r="F34" s="5"/>
      <c r="G34" s="8"/>
      <c r="H34" s="5"/>
      <c r="I34" s="5"/>
      <c r="J34" s="5"/>
      <c r="K34" s="5"/>
      <c r="L34" s="9"/>
    </row>
    <row r="35" spans="1:12" x14ac:dyDescent="0.25">
      <c r="A35" s="4"/>
      <c r="B35" s="5"/>
      <c r="C35" s="6"/>
      <c r="D35" s="7"/>
      <c r="E35" s="6"/>
      <c r="F35" s="5"/>
      <c r="G35" s="8"/>
      <c r="H35" s="5"/>
      <c r="I35" s="5"/>
      <c r="J35" s="5"/>
      <c r="K35" s="5"/>
      <c r="L35" s="9"/>
    </row>
    <row r="36" spans="1:12" x14ac:dyDescent="0.25">
      <c r="A36" s="4"/>
      <c r="B36" s="5"/>
      <c r="C36" s="6"/>
      <c r="D36" s="7"/>
      <c r="E36" s="6"/>
      <c r="F36" s="5"/>
      <c r="G36" s="8"/>
      <c r="H36" s="5"/>
      <c r="I36" s="5"/>
      <c r="J36" s="5"/>
      <c r="K36" s="5"/>
      <c r="L36" s="9"/>
    </row>
    <row r="37" spans="1:12" x14ac:dyDescent="0.25">
      <c r="A37" s="4"/>
      <c r="B37" s="5"/>
      <c r="C37" s="6"/>
      <c r="D37" s="7"/>
      <c r="E37" s="6"/>
      <c r="F37" s="5"/>
      <c r="G37" s="8"/>
      <c r="H37" s="5"/>
      <c r="I37" s="5"/>
      <c r="J37" s="5"/>
      <c r="K37" s="5"/>
      <c r="L37" s="9"/>
    </row>
    <row r="38" spans="1:12" x14ac:dyDescent="0.25">
      <c r="A38" s="4"/>
      <c r="B38" s="5"/>
      <c r="C38" s="6"/>
      <c r="D38" s="7"/>
      <c r="E38" s="6"/>
      <c r="F38" s="5"/>
      <c r="G38" s="8"/>
      <c r="H38" s="5"/>
      <c r="I38" s="5"/>
      <c r="J38" s="5"/>
      <c r="K38" s="5"/>
      <c r="L38" s="9"/>
    </row>
    <row r="39" spans="1:12" x14ac:dyDescent="0.25">
      <c r="A39" s="4"/>
      <c r="B39" s="5"/>
      <c r="C39" s="6"/>
      <c r="D39" s="7"/>
      <c r="E39" s="6"/>
      <c r="F39" s="5"/>
      <c r="G39" s="8"/>
      <c r="H39" s="5"/>
      <c r="I39" s="5"/>
      <c r="J39" s="5"/>
      <c r="K39" s="5"/>
      <c r="L39" s="9"/>
    </row>
    <row r="40" spans="1:12" x14ac:dyDescent="0.25">
      <c r="A40" s="4"/>
      <c r="B40" s="5"/>
      <c r="C40" s="6"/>
      <c r="D40" s="7"/>
      <c r="E40" s="6"/>
      <c r="F40" s="5"/>
      <c r="G40" s="8"/>
      <c r="H40" s="5"/>
      <c r="I40" s="5"/>
      <c r="J40" s="5"/>
      <c r="K40" s="5"/>
      <c r="L40" s="9"/>
    </row>
    <row r="41" spans="1:12" x14ac:dyDescent="0.25">
      <c r="A41" s="4"/>
      <c r="B41" s="5"/>
      <c r="C41" s="6"/>
      <c r="D41" s="7"/>
      <c r="E41" s="6"/>
      <c r="F41" s="5"/>
      <c r="G41" s="8"/>
      <c r="H41" s="5"/>
      <c r="I41" s="5"/>
      <c r="J41" s="5"/>
      <c r="K41" s="5"/>
      <c r="L41" s="9"/>
    </row>
    <row r="42" spans="1:12" x14ac:dyDescent="0.25">
      <c r="A42" s="4"/>
      <c r="B42" s="5"/>
      <c r="C42" s="6"/>
      <c r="D42" s="7"/>
      <c r="E42" s="6"/>
      <c r="F42" s="5"/>
      <c r="G42" s="8"/>
      <c r="H42" s="5"/>
      <c r="I42" s="5"/>
      <c r="J42" s="5"/>
      <c r="K42" s="5"/>
      <c r="L42" s="9"/>
    </row>
    <row r="43" spans="1:12" x14ac:dyDescent="0.25">
      <c r="A43" s="4"/>
      <c r="B43" s="5"/>
      <c r="C43" s="6"/>
      <c r="D43" s="7"/>
      <c r="E43" s="6"/>
      <c r="F43" s="5"/>
      <c r="G43" s="8"/>
      <c r="H43" s="5"/>
      <c r="I43" s="5"/>
      <c r="J43" s="5"/>
      <c r="K43" s="5"/>
      <c r="L43" s="9"/>
    </row>
    <row r="44" spans="1:12" x14ac:dyDescent="0.25">
      <c r="A44" s="4"/>
      <c r="B44" s="5"/>
      <c r="C44" s="6"/>
      <c r="D44" s="7"/>
      <c r="E44" s="6"/>
      <c r="F44" s="5"/>
      <c r="G44" s="8"/>
      <c r="H44" s="5"/>
      <c r="I44" s="5"/>
      <c r="J44" s="5"/>
      <c r="K44" s="5"/>
      <c r="L44" s="9"/>
    </row>
    <row r="45" spans="1:12" x14ac:dyDescent="0.25">
      <c r="A45" s="4"/>
      <c r="B45" s="5"/>
      <c r="C45" s="6"/>
      <c r="D45" s="7"/>
      <c r="E45" s="6"/>
      <c r="F45" s="5"/>
      <c r="G45" s="8"/>
      <c r="H45" s="5"/>
      <c r="I45" s="5"/>
      <c r="J45" s="5"/>
      <c r="K45" s="5"/>
      <c r="L45" s="9"/>
    </row>
    <row r="46" spans="1:12" x14ac:dyDescent="0.25">
      <c r="A46" s="4"/>
      <c r="B46" s="5"/>
      <c r="C46" s="6"/>
      <c r="D46" s="7"/>
      <c r="E46" s="6"/>
      <c r="F46" s="5"/>
      <c r="G46" s="8"/>
      <c r="H46" s="5"/>
      <c r="I46" s="5"/>
      <c r="J46" s="5"/>
      <c r="K46" s="5"/>
      <c r="L46" s="9"/>
    </row>
    <row r="47" spans="1:12" x14ac:dyDescent="0.25">
      <c r="A47" s="4"/>
      <c r="B47" s="5"/>
      <c r="C47" s="6"/>
      <c r="D47" s="7"/>
      <c r="E47" s="6"/>
      <c r="F47" s="5"/>
      <c r="G47" s="8"/>
      <c r="H47" s="5"/>
      <c r="I47" s="5"/>
      <c r="J47" s="5"/>
      <c r="K47" s="5"/>
      <c r="L47" s="9"/>
    </row>
    <row r="48" spans="1:12" x14ac:dyDescent="0.25">
      <c r="A48" s="4"/>
      <c r="B48" s="5"/>
      <c r="C48" s="6"/>
      <c r="D48" s="7"/>
      <c r="E48" s="6"/>
      <c r="F48" s="5"/>
      <c r="G48" s="8"/>
      <c r="H48" s="5"/>
      <c r="I48" s="5"/>
      <c r="J48" s="5"/>
      <c r="K48" s="5"/>
      <c r="L48" s="9"/>
    </row>
    <row r="49" spans="1:12" x14ac:dyDescent="0.25">
      <c r="A49" s="4"/>
      <c r="B49" s="5"/>
      <c r="C49" s="6"/>
      <c r="D49" s="7"/>
      <c r="E49" s="6"/>
      <c r="F49" s="5"/>
      <c r="G49" s="8"/>
      <c r="H49" s="5"/>
      <c r="I49" s="5"/>
      <c r="J49" s="5"/>
      <c r="K49" s="5"/>
      <c r="L49" s="9"/>
    </row>
    <row r="50" spans="1:12" x14ac:dyDescent="0.25">
      <c r="A50" s="4"/>
      <c r="B50" s="5"/>
      <c r="C50" s="6"/>
      <c r="D50" s="7"/>
      <c r="E50" s="6"/>
      <c r="F50" s="5"/>
      <c r="G50" s="8"/>
      <c r="H50" s="5"/>
      <c r="I50" s="5"/>
      <c r="J50" s="5"/>
      <c r="K50" s="5"/>
      <c r="L50" s="9"/>
    </row>
    <row r="51" spans="1:12" x14ac:dyDescent="0.25">
      <c r="A51" s="4"/>
      <c r="B51" s="5"/>
      <c r="C51" s="6"/>
      <c r="D51" s="7"/>
      <c r="E51" s="6"/>
      <c r="F51" s="5"/>
      <c r="G51" s="8"/>
      <c r="H51" s="5"/>
      <c r="I51" s="5"/>
      <c r="J51" s="5"/>
      <c r="K51" s="5"/>
      <c r="L51" s="9"/>
    </row>
    <row r="52" spans="1:12" x14ac:dyDescent="0.25">
      <c r="A52" s="4"/>
      <c r="B52" s="5"/>
      <c r="C52" s="6"/>
      <c r="D52" s="7"/>
      <c r="E52" s="6"/>
      <c r="F52" s="5"/>
      <c r="G52" s="8"/>
      <c r="H52" s="5"/>
      <c r="I52" s="5"/>
      <c r="J52" s="5"/>
      <c r="K52" s="5"/>
      <c r="L52" s="9"/>
    </row>
    <row r="53" spans="1:12" x14ac:dyDescent="0.25">
      <c r="A53" s="4"/>
      <c r="B53" s="5"/>
      <c r="C53" s="6"/>
      <c r="D53" s="7"/>
      <c r="E53" s="6"/>
      <c r="F53" s="5"/>
      <c r="G53" s="8"/>
      <c r="H53" s="5"/>
      <c r="I53" s="5"/>
      <c r="J53" s="5"/>
      <c r="K53" s="5"/>
      <c r="L53" s="9"/>
    </row>
    <row r="54" spans="1:12" x14ac:dyDescent="0.25">
      <c r="A54" s="4"/>
      <c r="B54" s="5"/>
      <c r="C54" s="6"/>
      <c r="D54" s="7"/>
      <c r="E54" s="6"/>
      <c r="F54" s="5"/>
      <c r="G54" s="8"/>
      <c r="H54" s="5"/>
      <c r="I54" s="5"/>
      <c r="J54" s="5"/>
      <c r="K54" s="5"/>
      <c r="L54" s="9"/>
    </row>
    <row r="55" spans="1:12" x14ac:dyDescent="0.25">
      <c r="A55" s="4"/>
      <c r="B55" s="5"/>
      <c r="C55" s="6"/>
      <c r="D55" s="7"/>
      <c r="E55" s="6"/>
      <c r="F55" s="5"/>
      <c r="G55" s="8"/>
      <c r="H55" s="5"/>
      <c r="I55" s="5"/>
      <c r="J55" s="5"/>
      <c r="K55" s="5"/>
      <c r="L55" s="9"/>
    </row>
    <row r="56" spans="1:12" x14ac:dyDescent="0.25">
      <c r="A56" s="4"/>
      <c r="B56" s="5"/>
      <c r="C56" s="6"/>
      <c r="D56" s="7"/>
      <c r="E56" s="6"/>
      <c r="F56" s="5"/>
      <c r="G56" s="8"/>
      <c r="H56" s="5"/>
      <c r="I56" s="5"/>
      <c r="J56" s="5"/>
      <c r="K56" s="5"/>
      <c r="L56" s="9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6"/>
  <sheetViews>
    <sheetView workbookViewId="0">
      <selection activeCell="G4" sqref="G4"/>
    </sheetView>
  </sheetViews>
  <sheetFormatPr defaultRowHeight="15" x14ac:dyDescent="0.25"/>
  <cols>
    <col min="1" max="1" width="14.28515625" customWidth="1"/>
    <col min="2" max="2" width="22.28515625" customWidth="1"/>
    <col min="3" max="3" width="15" customWidth="1"/>
    <col min="4" max="4" width="8.7109375" bestFit="1" customWidth="1"/>
    <col min="5" max="5" width="17.140625" customWidth="1"/>
    <col min="6" max="6" width="11.42578125" customWidth="1"/>
    <col min="7" max="7" width="10.85546875" customWidth="1"/>
    <col min="8" max="8" width="12.140625" customWidth="1"/>
    <col min="9" max="9" width="36.5703125" bestFit="1" customWidth="1"/>
    <col min="10" max="11" width="20.7109375" customWidth="1"/>
    <col min="12" max="12" width="32.5703125" customWidth="1"/>
  </cols>
  <sheetData>
    <row r="1" spans="1:12" ht="36" x14ac:dyDescent="0.25">
      <c r="A1" s="18" t="s">
        <v>2</v>
      </c>
      <c r="B1" s="18" t="s">
        <v>3</v>
      </c>
      <c r="C1" s="18" t="s">
        <v>4</v>
      </c>
      <c r="D1" s="18" t="s">
        <v>5</v>
      </c>
      <c r="E1" s="18" t="s">
        <v>6</v>
      </c>
      <c r="F1" s="18" t="s">
        <v>7</v>
      </c>
      <c r="G1" s="18" t="s">
        <v>8</v>
      </c>
      <c r="H1" s="18" t="s">
        <v>9</v>
      </c>
      <c r="I1" s="18" t="s">
        <v>10</v>
      </c>
      <c r="J1" s="18" t="s">
        <v>11</v>
      </c>
      <c r="K1" s="18" t="s">
        <v>12</v>
      </c>
      <c r="L1" s="18" t="s">
        <v>13</v>
      </c>
    </row>
    <row r="2" spans="1:12" ht="36" x14ac:dyDescent="0.25">
      <c r="A2" s="19" t="s">
        <v>2102</v>
      </c>
      <c r="B2" s="20" t="s">
        <v>2103</v>
      </c>
      <c r="C2" s="21">
        <v>1</v>
      </c>
      <c r="D2" s="22">
        <v>367.99</v>
      </c>
      <c r="E2" s="21">
        <v>719294449678</v>
      </c>
      <c r="F2" s="20" t="s">
        <v>2022</v>
      </c>
      <c r="G2" s="19"/>
      <c r="H2" s="20" t="s">
        <v>712</v>
      </c>
      <c r="I2" s="20" t="s">
        <v>2104</v>
      </c>
      <c r="J2" s="20" t="s">
        <v>1514</v>
      </c>
      <c r="K2" s="20" t="s">
        <v>936</v>
      </c>
      <c r="L2" s="23" t="str">
        <f>HYPERLINK("http://slimages.macys.com/is/image/MCY/10459073 ")</f>
        <v xml:space="preserve">http://slimages.macys.com/is/image/MCY/10459073 </v>
      </c>
    </row>
    <row r="3" spans="1:12" ht="36" x14ac:dyDescent="0.25">
      <c r="A3" s="19" t="s">
        <v>2105</v>
      </c>
      <c r="B3" s="20" t="s">
        <v>2106</v>
      </c>
      <c r="C3" s="21">
        <v>1</v>
      </c>
      <c r="D3" s="22">
        <v>179.99</v>
      </c>
      <c r="E3" s="21" t="s">
        <v>2107</v>
      </c>
      <c r="F3" s="20" t="s">
        <v>755</v>
      </c>
      <c r="G3" s="19"/>
      <c r="H3" s="20" t="s">
        <v>2108</v>
      </c>
      <c r="I3" s="20" t="s">
        <v>2109</v>
      </c>
      <c r="J3" s="20"/>
      <c r="K3" s="20"/>
      <c r="L3" s="23" t="str">
        <f>HYPERLINK("http://slimages.macys.com/is/image/MCY/16608843 ")</f>
        <v xml:space="preserve">http://slimages.macys.com/is/image/MCY/16608843 </v>
      </c>
    </row>
    <row r="4" spans="1:12" ht="192" x14ac:dyDescent="0.25">
      <c r="A4" s="19" t="s">
        <v>2110</v>
      </c>
      <c r="B4" s="20" t="s">
        <v>2111</v>
      </c>
      <c r="C4" s="21">
        <v>1</v>
      </c>
      <c r="D4" s="22">
        <v>233.99</v>
      </c>
      <c r="E4" s="21" t="s">
        <v>2112</v>
      </c>
      <c r="F4" s="20" t="s">
        <v>1036</v>
      </c>
      <c r="G4" s="19"/>
      <c r="H4" s="20" t="s">
        <v>712</v>
      </c>
      <c r="I4" s="20" t="s">
        <v>746</v>
      </c>
      <c r="J4" s="20" t="s">
        <v>20</v>
      </c>
      <c r="K4" s="20" t="s">
        <v>2113</v>
      </c>
      <c r="L4" s="23" t="str">
        <f>HYPERLINK("http://slimages.macys.com/is/image/MCY/12493294 ")</f>
        <v xml:space="preserve">http://slimages.macys.com/is/image/MCY/12493294 </v>
      </c>
    </row>
    <row r="5" spans="1:12" ht="96" x14ac:dyDescent="0.25">
      <c r="A5" s="19" t="s">
        <v>2114</v>
      </c>
      <c r="B5" s="20" t="s">
        <v>2115</v>
      </c>
      <c r="C5" s="21">
        <v>1</v>
      </c>
      <c r="D5" s="22">
        <v>164.99</v>
      </c>
      <c r="E5" s="21" t="s">
        <v>2116</v>
      </c>
      <c r="F5" s="20" t="s">
        <v>394</v>
      </c>
      <c r="G5" s="19"/>
      <c r="H5" s="20" t="s">
        <v>712</v>
      </c>
      <c r="I5" s="20" t="s">
        <v>746</v>
      </c>
      <c r="J5" s="20" t="s">
        <v>20</v>
      </c>
      <c r="K5" s="20" t="s">
        <v>2117</v>
      </c>
      <c r="L5" s="23" t="str">
        <f>HYPERLINK("http://slimages.macys.com/is/image/MCY/9627829 ")</f>
        <v xml:space="preserve">http://slimages.macys.com/is/image/MCY/9627829 </v>
      </c>
    </row>
    <row r="6" spans="1:12" ht="60" x14ac:dyDescent="0.25">
      <c r="A6" s="19" t="s">
        <v>2118</v>
      </c>
      <c r="B6" s="20" t="s">
        <v>2119</v>
      </c>
      <c r="C6" s="21">
        <v>1</v>
      </c>
      <c r="D6" s="22">
        <v>169.99</v>
      </c>
      <c r="E6" s="21" t="s">
        <v>2120</v>
      </c>
      <c r="F6" s="20" t="s">
        <v>89</v>
      </c>
      <c r="G6" s="19"/>
      <c r="H6" s="20" t="s">
        <v>712</v>
      </c>
      <c r="I6" s="20" t="s">
        <v>746</v>
      </c>
      <c r="J6" s="20" t="s">
        <v>20</v>
      </c>
      <c r="K6" s="20" t="s">
        <v>2121</v>
      </c>
      <c r="L6" s="23" t="str">
        <f>HYPERLINK("http://slimages.macys.com/is/image/MCY/9930120 ")</f>
        <v xml:space="preserve">http://slimages.macys.com/is/image/MCY/9930120 </v>
      </c>
    </row>
    <row r="7" spans="1:12" ht="48" x14ac:dyDescent="0.25">
      <c r="A7" s="19" t="s">
        <v>2122</v>
      </c>
      <c r="B7" s="20" t="s">
        <v>2123</v>
      </c>
      <c r="C7" s="21">
        <v>1</v>
      </c>
      <c r="D7" s="22">
        <v>149.99</v>
      </c>
      <c r="E7" s="21" t="s">
        <v>2124</v>
      </c>
      <c r="F7" s="20" t="s">
        <v>89</v>
      </c>
      <c r="G7" s="19"/>
      <c r="H7" s="20" t="s">
        <v>712</v>
      </c>
      <c r="I7" s="20" t="s">
        <v>2125</v>
      </c>
      <c r="J7" s="20" t="s">
        <v>20</v>
      </c>
      <c r="K7" s="20" t="s">
        <v>2126</v>
      </c>
      <c r="L7" s="23" t="str">
        <f>HYPERLINK("http://slimages.macys.com/is/image/MCY/9082280 ")</f>
        <v xml:space="preserve">http://slimages.macys.com/is/image/MCY/9082280 </v>
      </c>
    </row>
    <row r="8" spans="1:12" ht="48" x14ac:dyDescent="0.25">
      <c r="A8" s="19" t="s">
        <v>2127</v>
      </c>
      <c r="B8" s="20" t="s">
        <v>2128</v>
      </c>
      <c r="C8" s="21">
        <v>1</v>
      </c>
      <c r="D8" s="22">
        <v>199.99</v>
      </c>
      <c r="E8" s="21" t="s">
        <v>2129</v>
      </c>
      <c r="F8" s="20" t="s">
        <v>349</v>
      </c>
      <c r="G8" s="19"/>
      <c r="H8" s="20" t="s">
        <v>707</v>
      </c>
      <c r="I8" s="20" t="s">
        <v>708</v>
      </c>
      <c r="J8" s="20" t="s">
        <v>20</v>
      </c>
      <c r="K8" s="20" t="s">
        <v>751</v>
      </c>
      <c r="L8" s="23" t="str">
        <f>HYPERLINK("http://slimages.macys.com/is/image/MCY/15162796 ")</f>
        <v xml:space="preserve">http://slimages.macys.com/is/image/MCY/15162796 </v>
      </c>
    </row>
    <row r="9" spans="1:12" ht="60" x14ac:dyDescent="0.25">
      <c r="A9" s="19" t="s">
        <v>2130</v>
      </c>
      <c r="B9" s="20" t="s">
        <v>2131</v>
      </c>
      <c r="C9" s="21">
        <v>1</v>
      </c>
      <c r="D9" s="22">
        <v>116.99</v>
      </c>
      <c r="E9" s="21" t="s">
        <v>2132</v>
      </c>
      <c r="F9" s="20" t="s">
        <v>555</v>
      </c>
      <c r="G9" s="19"/>
      <c r="H9" s="20" t="s">
        <v>712</v>
      </c>
      <c r="I9" s="20" t="s">
        <v>746</v>
      </c>
      <c r="J9" s="20" t="s">
        <v>20</v>
      </c>
      <c r="K9" s="20" t="s">
        <v>2133</v>
      </c>
      <c r="L9" s="23" t="str">
        <f>HYPERLINK("http://slimages.macys.com/is/image/MCY/9500083 ")</f>
        <v xml:space="preserve">http://slimages.macys.com/is/image/MCY/9500083 </v>
      </c>
    </row>
    <row r="10" spans="1:12" ht="84" x14ac:dyDescent="0.25">
      <c r="A10" s="19" t="s">
        <v>2075</v>
      </c>
      <c r="B10" s="20" t="s">
        <v>2076</v>
      </c>
      <c r="C10" s="21">
        <v>2</v>
      </c>
      <c r="D10" s="22">
        <v>227.98</v>
      </c>
      <c r="E10" s="21" t="s">
        <v>2077</v>
      </c>
      <c r="F10" s="20" t="s">
        <v>600</v>
      </c>
      <c r="G10" s="19"/>
      <c r="H10" s="20" t="s">
        <v>712</v>
      </c>
      <c r="I10" s="20" t="s">
        <v>746</v>
      </c>
      <c r="J10" s="20" t="s">
        <v>20</v>
      </c>
      <c r="K10" s="20" t="s">
        <v>2078</v>
      </c>
      <c r="L10" s="23" t="str">
        <f>HYPERLINK("http://slimages.macys.com/is/image/MCY/9798733 ")</f>
        <v xml:space="preserve">http://slimages.macys.com/is/image/MCY/9798733 </v>
      </c>
    </row>
    <row r="11" spans="1:12" ht="60" x14ac:dyDescent="0.25">
      <c r="A11" s="19" t="s">
        <v>2134</v>
      </c>
      <c r="B11" s="20" t="s">
        <v>2135</v>
      </c>
      <c r="C11" s="21">
        <v>1</v>
      </c>
      <c r="D11" s="22">
        <v>134.99</v>
      </c>
      <c r="E11" s="21" t="s">
        <v>2136</v>
      </c>
      <c r="F11" s="20" t="s">
        <v>850</v>
      </c>
      <c r="G11" s="19"/>
      <c r="H11" s="20" t="s">
        <v>712</v>
      </c>
      <c r="I11" s="20" t="s">
        <v>746</v>
      </c>
      <c r="J11" s="20" t="s">
        <v>20</v>
      </c>
      <c r="K11" s="20" t="s">
        <v>2137</v>
      </c>
      <c r="L11" s="23" t="str">
        <f>HYPERLINK("http://slimages.macys.com/is/image/MCY/9627897 ")</f>
        <v xml:space="preserve">http://slimages.macys.com/is/image/MCY/9627897 </v>
      </c>
    </row>
    <row r="12" spans="1:12" ht="36" x14ac:dyDescent="0.25">
      <c r="A12" s="19" t="s">
        <v>2138</v>
      </c>
      <c r="B12" s="20" t="s">
        <v>2139</v>
      </c>
      <c r="C12" s="21">
        <v>1</v>
      </c>
      <c r="D12" s="22">
        <v>119.99</v>
      </c>
      <c r="E12" s="21" t="s">
        <v>2140</v>
      </c>
      <c r="F12" s="20" t="s">
        <v>922</v>
      </c>
      <c r="G12" s="19"/>
      <c r="H12" s="20" t="s">
        <v>1528</v>
      </c>
      <c r="I12" s="20" t="s">
        <v>2141</v>
      </c>
      <c r="J12" s="20" t="s">
        <v>20</v>
      </c>
      <c r="K12" s="20" t="s">
        <v>2142</v>
      </c>
      <c r="L12" s="23" t="str">
        <f>HYPERLINK("http://slimages.macys.com/is/image/MCY/12738803 ")</f>
        <v xml:space="preserve">http://slimages.macys.com/is/image/MCY/12738803 </v>
      </c>
    </row>
    <row r="13" spans="1:12" ht="60" x14ac:dyDescent="0.25">
      <c r="A13" s="19" t="s">
        <v>2143</v>
      </c>
      <c r="B13" s="20" t="s">
        <v>2144</v>
      </c>
      <c r="C13" s="21">
        <v>1</v>
      </c>
      <c r="D13" s="22">
        <v>82.99</v>
      </c>
      <c r="E13" s="21" t="s">
        <v>2145</v>
      </c>
      <c r="F13" s="20" t="s">
        <v>89</v>
      </c>
      <c r="G13" s="19" t="s">
        <v>2146</v>
      </c>
      <c r="H13" s="20" t="s">
        <v>782</v>
      </c>
      <c r="I13" s="20" t="s">
        <v>2147</v>
      </c>
      <c r="J13" s="20" t="s">
        <v>20</v>
      </c>
      <c r="K13" s="20" t="s">
        <v>2148</v>
      </c>
      <c r="L13" s="23" t="str">
        <f>HYPERLINK("http://slimages.macys.com/is/image/MCY/14924460 ")</f>
        <v xml:space="preserve">http://slimages.macys.com/is/image/MCY/14924460 </v>
      </c>
    </row>
    <row r="14" spans="1:12" ht="48" x14ac:dyDescent="0.25">
      <c r="A14" s="19" t="s">
        <v>2149</v>
      </c>
      <c r="B14" s="20" t="s">
        <v>2150</v>
      </c>
      <c r="C14" s="21">
        <v>3</v>
      </c>
      <c r="D14" s="22">
        <v>332.97</v>
      </c>
      <c r="E14" s="21" t="s">
        <v>2151</v>
      </c>
      <c r="F14" s="20" t="s">
        <v>1031</v>
      </c>
      <c r="G14" s="19"/>
      <c r="H14" s="20" t="s">
        <v>712</v>
      </c>
      <c r="I14" s="20" t="s">
        <v>746</v>
      </c>
      <c r="J14" s="20" t="s">
        <v>20</v>
      </c>
      <c r="K14" s="20" t="s">
        <v>2152</v>
      </c>
      <c r="L14" s="23" t="str">
        <f>HYPERLINK("http://slimages.macys.com/is/image/MCY/11113478 ")</f>
        <v xml:space="preserve">http://slimages.macys.com/is/image/MCY/11113478 </v>
      </c>
    </row>
    <row r="15" spans="1:12" ht="36" x14ac:dyDescent="0.25">
      <c r="A15" s="19" t="s">
        <v>2153</v>
      </c>
      <c r="B15" s="20" t="s">
        <v>2154</v>
      </c>
      <c r="C15" s="21">
        <v>1</v>
      </c>
      <c r="D15" s="22">
        <v>74.989999999999995</v>
      </c>
      <c r="E15" s="21" t="s">
        <v>2155</v>
      </c>
      <c r="F15" s="20" t="s">
        <v>89</v>
      </c>
      <c r="G15" s="19" t="s">
        <v>1117</v>
      </c>
      <c r="H15" s="20" t="s">
        <v>782</v>
      </c>
      <c r="I15" s="20" t="s">
        <v>2156</v>
      </c>
      <c r="J15" s="20" t="s">
        <v>20</v>
      </c>
      <c r="K15" s="20" t="s">
        <v>2157</v>
      </c>
      <c r="L15" s="23" t="str">
        <f>HYPERLINK("http://slimages.macys.com/is/image/MCY/14754763 ")</f>
        <v xml:space="preserve">http://slimages.macys.com/is/image/MCY/14754763 </v>
      </c>
    </row>
    <row r="16" spans="1:12" ht="36" x14ac:dyDescent="0.25">
      <c r="A16" s="19" t="s">
        <v>2158</v>
      </c>
      <c r="B16" s="20" t="s">
        <v>2159</v>
      </c>
      <c r="C16" s="21">
        <v>1</v>
      </c>
      <c r="D16" s="22">
        <v>65.989999999999995</v>
      </c>
      <c r="E16" s="21" t="s">
        <v>2160</v>
      </c>
      <c r="F16" s="20" t="s">
        <v>289</v>
      </c>
      <c r="G16" s="19"/>
      <c r="H16" s="20" t="s">
        <v>712</v>
      </c>
      <c r="I16" s="20" t="s">
        <v>746</v>
      </c>
      <c r="J16" s="20" t="s">
        <v>20</v>
      </c>
      <c r="K16" s="20" t="s">
        <v>2161</v>
      </c>
      <c r="L16" s="23" t="str">
        <f>HYPERLINK("http://slimages.macys.com/is/image/MCY/9767741 ")</f>
        <v xml:space="preserve">http://slimages.macys.com/is/image/MCY/9767741 </v>
      </c>
    </row>
    <row r="17" spans="1:12" ht="36" x14ac:dyDescent="0.25">
      <c r="A17" s="19" t="s">
        <v>2162</v>
      </c>
      <c r="B17" s="20" t="s">
        <v>2163</v>
      </c>
      <c r="C17" s="21">
        <v>1</v>
      </c>
      <c r="D17" s="22">
        <v>119.99</v>
      </c>
      <c r="E17" s="21" t="s">
        <v>2164</v>
      </c>
      <c r="F17" s="20" t="s">
        <v>1124</v>
      </c>
      <c r="G17" s="19"/>
      <c r="H17" s="20" t="s">
        <v>739</v>
      </c>
      <c r="I17" s="20" t="s">
        <v>1925</v>
      </c>
      <c r="J17" s="20" t="s">
        <v>20</v>
      </c>
      <c r="K17" s="20" t="s">
        <v>341</v>
      </c>
      <c r="L17" s="23" t="str">
        <f>HYPERLINK("http://slimages.macys.com/is/image/MCY/14731378 ")</f>
        <v xml:space="preserve">http://slimages.macys.com/is/image/MCY/14731378 </v>
      </c>
    </row>
    <row r="18" spans="1:12" ht="36" x14ac:dyDescent="0.25">
      <c r="A18" s="19" t="s">
        <v>2165</v>
      </c>
      <c r="B18" s="20" t="s">
        <v>2166</v>
      </c>
      <c r="C18" s="21">
        <v>2</v>
      </c>
      <c r="D18" s="22">
        <v>89.98</v>
      </c>
      <c r="E18" s="21" t="s">
        <v>2167</v>
      </c>
      <c r="F18" s="20" t="s">
        <v>89</v>
      </c>
      <c r="G18" s="19" t="s">
        <v>1065</v>
      </c>
      <c r="H18" s="20" t="s">
        <v>782</v>
      </c>
      <c r="I18" s="20" t="s">
        <v>2168</v>
      </c>
      <c r="J18" s="20"/>
      <c r="K18" s="20"/>
      <c r="L18" s="23" t="str">
        <f>HYPERLINK("http://slimages.macys.com/is/image/MCY/17283249 ")</f>
        <v xml:space="preserve">http://slimages.macys.com/is/image/MCY/17283249 </v>
      </c>
    </row>
    <row r="19" spans="1:12" ht="36" x14ac:dyDescent="0.25">
      <c r="A19" s="19" t="s">
        <v>2169</v>
      </c>
      <c r="B19" s="20" t="s">
        <v>2170</v>
      </c>
      <c r="C19" s="21">
        <v>1</v>
      </c>
      <c r="D19" s="22">
        <v>42.99</v>
      </c>
      <c r="E19" s="21" t="s">
        <v>2171</v>
      </c>
      <c r="F19" s="20" t="s">
        <v>89</v>
      </c>
      <c r="G19" s="19" t="s">
        <v>2172</v>
      </c>
      <c r="H19" s="20" t="s">
        <v>782</v>
      </c>
      <c r="I19" s="20" t="s">
        <v>2168</v>
      </c>
      <c r="J19" s="20"/>
      <c r="K19" s="20"/>
      <c r="L19" s="23" t="str">
        <f>HYPERLINK("http://slimages.macys.com/is/image/MCY/17283532 ")</f>
        <v xml:space="preserve">http://slimages.macys.com/is/image/MCY/17283532 </v>
      </c>
    </row>
    <row r="20" spans="1:12" ht="36" x14ac:dyDescent="0.25">
      <c r="A20" s="19" t="s">
        <v>2173</v>
      </c>
      <c r="B20" s="20" t="s">
        <v>2174</v>
      </c>
      <c r="C20" s="21">
        <v>2</v>
      </c>
      <c r="D20" s="22">
        <v>103.98</v>
      </c>
      <c r="E20" s="21" t="s">
        <v>2155</v>
      </c>
      <c r="F20" s="20" t="s">
        <v>89</v>
      </c>
      <c r="G20" s="19" t="s">
        <v>2175</v>
      </c>
      <c r="H20" s="20" t="s">
        <v>782</v>
      </c>
      <c r="I20" s="20" t="s">
        <v>2156</v>
      </c>
      <c r="J20" s="20" t="s">
        <v>20</v>
      </c>
      <c r="K20" s="20" t="s">
        <v>2157</v>
      </c>
      <c r="L20" s="23" t="str">
        <f>HYPERLINK("http://slimages.macys.com/is/image/MCY/14754763 ")</f>
        <v xml:space="preserve">http://slimages.macys.com/is/image/MCY/14754763 </v>
      </c>
    </row>
    <row r="21" spans="1:12" ht="36" x14ac:dyDescent="0.25">
      <c r="A21" s="19" t="s">
        <v>2176</v>
      </c>
      <c r="B21" s="20" t="s">
        <v>2177</v>
      </c>
      <c r="C21" s="21">
        <v>1</v>
      </c>
      <c r="D21" s="22">
        <v>64.989999999999995</v>
      </c>
      <c r="E21" s="21" t="s">
        <v>2178</v>
      </c>
      <c r="F21" s="20" t="s">
        <v>483</v>
      </c>
      <c r="G21" s="19"/>
      <c r="H21" s="20" t="s">
        <v>745</v>
      </c>
      <c r="I21" s="20" t="s">
        <v>2179</v>
      </c>
      <c r="J21" s="20" t="s">
        <v>20</v>
      </c>
      <c r="K21" s="20" t="s">
        <v>2180</v>
      </c>
      <c r="L21" s="23" t="str">
        <f>HYPERLINK("http://slimages.macys.com/is/image/MCY/10445794 ")</f>
        <v xml:space="preserve">http://slimages.macys.com/is/image/MCY/10445794 </v>
      </c>
    </row>
    <row r="22" spans="1:12" ht="36" x14ac:dyDescent="0.25">
      <c r="A22" s="19" t="s">
        <v>2181</v>
      </c>
      <c r="B22" s="20" t="s">
        <v>2182</v>
      </c>
      <c r="C22" s="21">
        <v>2</v>
      </c>
      <c r="D22" s="22">
        <v>79.98</v>
      </c>
      <c r="E22" s="21" t="s">
        <v>2183</v>
      </c>
      <c r="F22" s="20" t="s">
        <v>394</v>
      </c>
      <c r="G22" s="19" t="s">
        <v>930</v>
      </c>
      <c r="H22" s="20" t="s">
        <v>745</v>
      </c>
      <c r="I22" s="20" t="s">
        <v>2184</v>
      </c>
      <c r="J22" s="20" t="s">
        <v>20</v>
      </c>
      <c r="K22" s="20" t="s">
        <v>2185</v>
      </c>
      <c r="L22" s="23" t="str">
        <f>HYPERLINK("http://slimages.macys.com/is/image/MCY/15619010 ")</f>
        <v xml:space="preserve">http://slimages.macys.com/is/image/MCY/15619010 </v>
      </c>
    </row>
    <row r="23" spans="1:12" ht="36" x14ac:dyDescent="0.25">
      <c r="A23" s="19" t="s">
        <v>2186</v>
      </c>
      <c r="B23" s="20" t="s">
        <v>2187</v>
      </c>
      <c r="C23" s="21">
        <v>1</v>
      </c>
      <c r="D23" s="22">
        <v>47.99</v>
      </c>
      <c r="E23" s="21" t="s">
        <v>2188</v>
      </c>
      <c r="F23" s="20" t="s">
        <v>638</v>
      </c>
      <c r="G23" s="19"/>
      <c r="H23" s="20" t="s">
        <v>712</v>
      </c>
      <c r="I23" s="20" t="s">
        <v>746</v>
      </c>
      <c r="J23" s="20" t="s">
        <v>20</v>
      </c>
      <c r="K23" s="20" t="s">
        <v>396</v>
      </c>
      <c r="L23" s="23" t="str">
        <f>HYPERLINK("http://slimages.macys.com/is/image/MCY/9777968 ")</f>
        <v xml:space="preserve">http://slimages.macys.com/is/image/MCY/9777968 </v>
      </c>
    </row>
    <row r="24" spans="1:12" ht="36" x14ac:dyDescent="0.25">
      <c r="A24" s="19" t="s">
        <v>2189</v>
      </c>
      <c r="B24" s="20" t="s">
        <v>2190</v>
      </c>
      <c r="C24" s="21">
        <v>1</v>
      </c>
      <c r="D24" s="22">
        <v>39.99</v>
      </c>
      <c r="E24" s="21" t="s">
        <v>2191</v>
      </c>
      <c r="F24" s="20" t="s">
        <v>394</v>
      </c>
      <c r="G24" s="19"/>
      <c r="H24" s="20" t="s">
        <v>739</v>
      </c>
      <c r="I24" s="20" t="s">
        <v>1561</v>
      </c>
      <c r="J24" s="20" t="s">
        <v>20</v>
      </c>
      <c r="K24" s="20" t="s">
        <v>2192</v>
      </c>
      <c r="L24" s="23" t="str">
        <f>HYPERLINK("http://slimages.macys.com/is/image/MCY/9853592 ")</f>
        <v xml:space="preserve">http://slimages.macys.com/is/image/MCY/9853592 </v>
      </c>
    </row>
    <row r="25" spans="1:12" ht="36" x14ac:dyDescent="0.25">
      <c r="A25" s="19" t="s">
        <v>2193</v>
      </c>
      <c r="B25" s="20" t="s">
        <v>2194</v>
      </c>
      <c r="C25" s="21">
        <v>1</v>
      </c>
      <c r="D25" s="22">
        <v>49.99</v>
      </c>
      <c r="E25" s="21" t="s">
        <v>2195</v>
      </c>
      <c r="F25" s="20" t="s">
        <v>2196</v>
      </c>
      <c r="G25" s="19" t="s">
        <v>2097</v>
      </c>
      <c r="H25" s="20" t="s">
        <v>831</v>
      </c>
      <c r="I25" s="20" t="s">
        <v>2197</v>
      </c>
      <c r="J25" s="20" t="s">
        <v>20</v>
      </c>
      <c r="K25" s="20" t="s">
        <v>936</v>
      </c>
      <c r="L25" s="23" t="str">
        <f>HYPERLINK("http://slimages.macys.com/is/image/MCY/13760567 ")</f>
        <v xml:space="preserve">http://slimages.macys.com/is/image/MCY/13760567 </v>
      </c>
    </row>
    <row r="26" spans="1:12" ht="24" x14ac:dyDescent="0.25">
      <c r="A26" s="19" t="s">
        <v>2198</v>
      </c>
      <c r="B26" s="20" t="s">
        <v>2199</v>
      </c>
      <c r="C26" s="21">
        <v>1</v>
      </c>
      <c r="D26" s="22">
        <v>38.99</v>
      </c>
      <c r="E26" s="21">
        <v>49607</v>
      </c>
      <c r="F26" s="20" t="s">
        <v>349</v>
      </c>
      <c r="G26" s="19" t="s">
        <v>17</v>
      </c>
      <c r="H26" s="20" t="s">
        <v>745</v>
      </c>
      <c r="I26" s="20" t="s">
        <v>2200</v>
      </c>
      <c r="J26" s="20" t="s">
        <v>20</v>
      </c>
      <c r="K26" s="20" t="s">
        <v>396</v>
      </c>
      <c r="L26" s="23" t="str">
        <f>HYPERLINK("http://slimages.macys.com/is/image/MCY/902992 ")</f>
        <v xml:space="preserve">http://slimages.macys.com/is/image/MCY/902992 </v>
      </c>
    </row>
    <row r="27" spans="1:12" ht="24" x14ac:dyDescent="0.25">
      <c r="A27" s="19" t="s">
        <v>2201</v>
      </c>
      <c r="B27" s="20" t="s">
        <v>2202</v>
      </c>
      <c r="C27" s="21">
        <v>4</v>
      </c>
      <c r="D27" s="22">
        <v>127.96</v>
      </c>
      <c r="E27" s="21" t="s">
        <v>2203</v>
      </c>
      <c r="F27" s="20" t="s">
        <v>78</v>
      </c>
      <c r="G27" s="19" t="s">
        <v>930</v>
      </c>
      <c r="H27" s="20" t="s">
        <v>745</v>
      </c>
      <c r="I27" s="20" t="s">
        <v>2184</v>
      </c>
      <c r="J27" s="20" t="s">
        <v>20</v>
      </c>
      <c r="K27" s="20" t="s">
        <v>2204</v>
      </c>
      <c r="L27" s="23" t="str">
        <f>HYPERLINK("http://slimages.macys.com/is/image/MCY/15619115 ")</f>
        <v xml:space="preserve">http://slimages.macys.com/is/image/MCY/15619115 </v>
      </c>
    </row>
    <row r="28" spans="1:12" ht="48" x14ac:dyDescent="0.25">
      <c r="A28" s="19" t="s">
        <v>2205</v>
      </c>
      <c r="B28" s="20" t="s">
        <v>2206</v>
      </c>
      <c r="C28" s="21">
        <v>1</v>
      </c>
      <c r="D28" s="22">
        <v>34.99</v>
      </c>
      <c r="E28" s="21" t="s">
        <v>2207</v>
      </c>
      <c r="F28" s="20" t="s">
        <v>89</v>
      </c>
      <c r="G28" s="19" t="s">
        <v>1512</v>
      </c>
      <c r="H28" s="20" t="s">
        <v>782</v>
      </c>
      <c r="I28" s="20" t="s">
        <v>2208</v>
      </c>
      <c r="J28" s="20" t="s">
        <v>20</v>
      </c>
      <c r="K28" s="20" t="s">
        <v>2209</v>
      </c>
      <c r="L28" s="23" t="str">
        <f>HYPERLINK("http://slimages.macys.com/is/image/MCY/11503235 ")</f>
        <v xml:space="preserve">http://slimages.macys.com/is/image/MCY/11503235 </v>
      </c>
    </row>
    <row r="29" spans="1:12" ht="60" x14ac:dyDescent="0.25">
      <c r="A29" s="19" t="s">
        <v>2210</v>
      </c>
      <c r="B29" s="20" t="s">
        <v>2211</v>
      </c>
      <c r="C29" s="21">
        <v>1</v>
      </c>
      <c r="D29" s="22">
        <v>31.99</v>
      </c>
      <c r="E29" s="21" t="s">
        <v>2212</v>
      </c>
      <c r="F29" s="20" t="s">
        <v>755</v>
      </c>
      <c r="G29" s="19" t="s">
        <v>360</v>
      </c>
      <c r="H29" s="20" t="s">
        <v>745</v>
      </c>
      <c r="I29" s="20" t="s">
        <v>746</v>
      </c>
      <c r="J29" s="20" t="s">
        <v>20</v>
      </c>
      <c r="K29" s="20" t="s">
        <v>2213</v>
      </c>
      <c r="L29" s="23" t="str">
        <f>HYPERLINK("http://slimages.macys.com/is/image/MCY/9613989 ")</f>
        <v xml:space="preserve">http://slimages.macys.com/is/image/MCY/9613989 </v>
      </c>
    </row>
    <row r="30" spans="1:12" ht="36" x14ac:dyDescent="0.25">
      <c r="A30" s="19" t="s">
        <v>2214</v>
      </c>
      <c r="B30" s="20" t="s">
        <v>2215</v>
      </c>
      <c r="C30" s="21">
        <v>2</v>
      </c>
      <c r="D30" s="22">
        <v>81.98</v>
      </c>
      <c r="E30" s="21" t="s">
        <v>2216</v>
      </c>
      <c r="F30" s="20" t="s">
        <v>89</v>
      </c>
      <c r="G30" s="19"/>
      <c r="H30" s="20" t="s">
        <v>745</v>
      </c>
      <c r="I30" s="20" t="s">
        <v>2217</v>
      </c>
      <c r="J30" s="20" t="s">
        <v>20</v>
      </c>
      <c r="K30" s="20" t="s">
        <v>2218</v>
      </c>
      <c r="L30" s="23" t="str">
        <f>HYPERLINK("http://slimages.macys.com/is/image/MCY/10328810 ")</f>
        <v xml:space="preserve">http://slimages.macys.com/is/image/MCY/10328810 </v>
      </c>
    </row>
    <row r="31" spans="1:12" ht="24" x14ac:dyDescent="0.25">
      <c r="A31" s="19" t="s">
        <v>2219</v>
      </c>
      <c r="B31" s="20" t="s">
        <v>2220</v>
      </c>
      <c r="C31" s="21">
        <v>2</v>
      </c>
      <c r="D31" s="22">
        <v>53.98</v>
      </c>
      <c r="E31" s="21" t="s">
        <v>2221</v>
      </c>
      <c r="F31" s="20" t="s">
        <v>2222</v>
      </c>
      <c r="G31" s="19" t="s">
        <v>930</v>
      </c>
      <c r="H31" s="20" t="s">
        <v>745</v>
      </c>
      <c r="I31" s="20" t="s">
        <v>879</v>
      </c>
      <c r="J31" s="20" t="s">
        <v>20</v>
      </c>
      <c r="K31" s="20" t="s">
        <v>396</v>
      </c>
      <c r="L31" s="23" t="str">
        <f>HYPERLINK("http://slimages.macys.com/is/image/MCY/3313730 ")</f>
        <v xml:space="preserve">http://slimages.macys.com/is/image/MCY/3313730 </v>
      </c>
    </row>
    <row r="32" spans="1:12" ht="24" x14ac:dyDescent="0.25">
      <c r="A32" s="19" t="s">
        <v>2223</v>
      </c>
      <c r="B32" s="20" t="s">
        <v>2224</v>
      </c>
      <c r="C32" s="21">
        <v>7</v>
      </c>
      <c r="D32" s="22">
        <v>188.93</v>
      </c>
      <c r="E32" s="21" t="s">
        <v>2225</v>
      </c>
      <c r="F32" s="20" t="s">
        <v>206</v>
      </c>
      <c r="G32" s="19" t="s">
        <v>2226</v>
      </c>
      <c r="H32" s="20" t="s">
        <v>745</v>
      </c>
      <c r="I32" s="20" t="s">
        <v>2227</v>
      </c>
      <c r="J32" s="20" t="s">
        <v>20</v>
      </c>
      <c r="K32" s="20" t="s">
        <v>2228</v>
      </c>
      <c r="L32" s="23" t="str">
        <f>HYPERLINK("http://slimages.macys.com/is/image/MCY/1466811 ")</f>
        <v xml:space="preserve">http://slimages.macys.com/is/image/MCY/1466811 </v>
      </c>
    </row>
    <row r="33" spans="1:12" ht="96" x14ac:dyDescent="0.25">
      <c r="A33" s="19" t="s">
        <v>2229</v>
      </c>
      <c r="B33" s="20" t="s">
        <v>2230</v>
      </c>
      <c r="C33" s="21">
        <v>2</v>
      </c>
      <c r="D33" s="22">
        <v>39.979999999999997</v>
      </c>
      <c r="E33" s="21" t="s">
        <v>2231</v>
      </c>
      <c r="F33" s="20" t="s">
        <v>349</v>
      </c>
      <c r="G33" s="19" t="s">
        <v>360</v>
      </c>
      <c r="H33" s="20" t="s">
        <v>745</v>
      </c>
      <c r="I33" s="20" t="s">
        <v>746</v>
      </c>
      <c r="J33" s="20" t="s">
        <v>20</v>
      </c>
      <c r="K33" s="20" t="s">
        <v>2232</v>
      </c>
      <c r="L33" s="23" t="str">
        <f>HYPERLINK("http://slimages.macys.com/is/image/MCY/9613896 ")</f>
        <v xml:space="preserve">http://slimages.macys.com/is/image/MCY/9613896 </v>
      </c>
    </row>
    <row r="34" spans="1:12" ht="36" x14ac:dyDescent="0.25">
      <c r="A34" s="19" t="s">
        <v>2233</v>
      </c>
      <c r="B34" s="20" t="s">
        <v>2234</v>
      </c>
      <c r="C34" s="21">
        <v>4</v>
      </c>
      <c r="D34" s="22">
        <v>39.96</v>
      </c>
      <c r="E34" s="21" t="s">
        <v>2235</v>
      </c>
      <c r="F34" s="20" t="s">
        <v>89</v>
      </c>
      <c r="G34" s="19"/>
      <c r="H34" s="20" t="s">
        <v>865</v>
      </c>
      <c r="I34" s="20" t="s">
        <v>2043</v>
      </c>
      <c r="J34" s="20" t="s">
        <v>20</v>
      </c>
      <c r="K34" s="20"/>
      <c r="L34" s="23" t="str">
        <f>HYPERLINK("http://slimages.macys.com/is/image/MCY/9092084 ")</f>
        <v xml:space="preserve">http://slimages.macys.com/is/image/MCY/9092084 </v>
      </c>
    </row>
    <row r="35" spans="1:12" ht="24" x14ac:dyDescent="0.25">
      <c r="A35" s="19" t="s">
        <v>1019</v>
      </c>
      <c r="B35" s="20" t="s">
        <v>694</v>
      </c>
      <c r="C35" s="21">
        <v>5</v>
      </c>
      <c r="D35" s="22">
        <v>200</v>
      </c>
      <c r="E35" s="21"/>
      <c r="F35" s="20" t="s">
        <v>16</v>
      </c>
      <c r="G35" s="19" t="s">
        <v>17</v>
      </c>
      <c r="H35" s="20" t="s">
        <v>695</v>
      </c>
      <c r="I35" s="20" t="s">
        <v>696</v>
      </c>
      <c r="J35" s="20"/>
      <c r="K35" s="20"/>
      <c r="L35" s="23"/>
    </row>
    <row r="36" spans="1:12" ht="36" x14ac:dyDescent="0.25">
      <c r="A36" s="19" t="s">
        <v>2236</v>
      </c>
      <c r="B36" s="20" t="s">
        <v>2237</v>
      </c>
      <c r="C36" s="21">
        <v>2</v>
      </c>
      <c r="D36" s="22">
        <v>109.98</v>
      </c>
      <c r="E36" s="21" t="s">
        <v>2238</v>
      </c>
      <c r="F36" s="20" t="s">
        <v>89</v>
      </c>
      <c r="G36" s="19" t="s">
        <v>1065</v>
      </c>
      <c r="H36" s="20" t="s">
        <v>782</v>
      </c>
      <c r="I36" s="20" t="s">
        <v>2168</v>
      </c>
      <c r="J36" s="20"/>
      <c r="K36" s="20"/>
      <c r="L36" s="23"/>
    </row>
    <row r="37" spans="1:12" x14ac:dyDescent="0.25">
      <c r="A37" s="4"/>
      <c r="B37" s="5"/>
      <c r="C37" s="6"/>
      <c r="D37" s="7"/>
      <c r="E37" s="6"/>
      <c r="F37" s="5"/>
      <c r="G37" s="8"/>
      <c r="H37" s="5"/>
      <c r="I37" s="5"/>
      <c r="J37" s="5"/>
      <c r="K37" s="5"/>
      <c r="L37" s="9"/>
    </row>
    <row r="38" spans="1:12" x14ac:dyDescent="0.25">
      <c r="A38" s="4"/>
      <c r="B38" s="5"/>
      <c r="C38" s="6"/>
      <c r="D38" s="7"/>
      <c r="E38" s="6"/>
      <c r="F38" s="5"/>
      <c r="G38" s="8"/>
      <c r="H38" s="5"/>
      <c r="I38" s="5"/>
      <c r="J38" s="5"/>
      <c r="K38" s="5"/>
      <c r="L38" s="9"/>
    </row>
    <row r="39" spans="1:12" x14ac:dyDescent="0.25">
      <c r="A39" s="4"/>
      <c r="B39" s="5"/>
      <c r="C39" s="6"/>
      <c r="D39" s="7"/>
      <c r="E39" s="6"/>
      <c r="F39" s="5"/>
      <c r="G39" s="8"/>
      <c r="H39" s="5"/>
      <c r="I39" s="5"/>
      <c r="J39" s="5"/>
      <c r="K39" s="5"/>
      <c r="L39" s="9"/>
    </row>
    <row r="40" spans="1:12" x14ac:dyDescent="0.25">
      <c r="A40" s="4"/>
      <c r="B40" s="5"/>
      <c r="C40" s="6"/>
      <c r="D40" s="7"/>
      <c r="E40" s="6"/>
      <c r="F40" s="5"/>
      <c r="G40" s="8"/>
      <c r="H40" s="5"/>
      <c r="I40" s="5"/>
      <c r="J40" s="5"/>
      <c r="K40" s="5"/>
      <c r="L40" s="9"/>
    </row>
    <row r="41" spans="1:12" x14ac:dyDescent="0.25">
      <c r="A41" s="4"/>
      <c r="B41" s="5"/>
      <c r="C41" s="6"/>
      <c r="D41" s="7"/>
      <c r="E41" s="6"/>
      <c r="F41" s="5"/>
      <c r="G41" s="8"/>
      <c r="H41" s="5"/>
      <c r="I41" s="5"/>
      <c r="J41" s="5"/>
      <c r="K41" s="5"/>
      <c r="L41" s="9"/>
    </row>
    <row r="42" spans="1:12" x14ac:dyDescent="0.25">
      <c r="A42" s="4"/>
      <c r="B42" s="5"/>
      <c r="C42" s="6"/>
      <c r="D42" s="7"/>
      <c r="E42" s="6"/>
      <c r="F42" s="5"/>
      <c r="G42" s="8"/>
      <c r="H42" s="5"/>
      <c r="I42" s="5"/>
      <c r="J42" s="5"/>
      <c r="K42" s="5"/>
      <c r="L42" s="9"/>
    </row>
    <row r="43" spans="1:12" x14ac:dyDescent="0.25">
      <c r="A43" s="4"/>
      <c r="B43" s="5"/>
      <c r="C43" s="6"/>
      <c r="D43" s="7"/>
      <c r="E43" s="6"/>
      <c r="F43" s="5"/>
      <c r="G43" s="8"/>
      <c r="H43" s="5"/>
      <c r="I43" s="5"/>
      <c r="J43" s="5"/>
      <c r="K43" s="5"/>
      <c r="L43" s="9"/>
    </row>
    <row r="44" spans="1:12" x14ac:dyDescent="0.25">
      <c r="A44" s="4"/>
      <c r="B44" s="5"/>
      <c r="C44" s="6"/>
      <c r="D44" s="7"/>
      <c r="E44" s="6"/>
      <c r="F44" s="5"/>
      <c r="G44" s="8"/>
      <c r="H44" s="5"/>
      <c r="I44" s="5"/>
      <c r="J44" s="5"/>
      <c r="K44" s="5"/>
      <c r="L44" s="9"/>
    </row>
    <row r="45" spans="1:12" x14ac:dyDescent="0.25">
      <c r="A45" s="4"/>
      <c r="B45" s="5"/>
      <c r="C45" s="6"/>
      <c r="D45" s="7"/>
      <c r="E45" s="6"/>
      <c r="F45" s="5"/>
      <c r="G45" s="8"/>
      <c r="H45" s="5"/>
      <c r="I45" s="5"/>
      <c r="J45" s="5"/>
      <c r="K45" s="5"/>
      <c r="L45" s="9"/>
    </row>
    <row r="46" spans="1:12" x14ac:dyDescent="0.25">
      <c r="A46" s="4"/>
      <c r="B46" s="5"/>
      <c r="C46" s="6"/>
      <c r="D46" s="7"/>
      <c r="E46" s="6"/>
      <c r="F46" s="5"/>
      <c r="G46" s="8"/>
      <c r="H46" s="5"/>
      <c r="I46" s="5"/>
      <c r="J46" s="5"/>
      <c r="K46" s="5"/>
      <c r="L46" s="9"/>
    </row>
    <row r="47" spans="1:12" x14ac:dyDescent="0.25">
      <c r="A47" s="4"/>
      <c r="B47" s="5"/>
      <c r="C47" s="6"/>
      <c r="D47" s="7"/>
      <c r="E47" s="6"/>
      <c r="F47" s="5"/>
      <c r="G47" s="8"/>
      <c r="H47" s="5"/>
      <c r="I47" s="5"/>
      <c r="J47" s="5"/>
      <c r="K47" s="5"/>
      <c r="L47" s="9"/>
    </row>
    <row r="48" spans="1:12" x14ac:dyDescent="0.25">
      <c r="A48" s="4"/>
      <c r="B48" s="5"/>
      <c r="C48" s="6"/>
      <c r="D48" s="7"/>
      <c r="E48" s="6"/>
      <c r="F48" s="5"/>
      <c r="G48" s="8"/>
      <c r="H48" s="5"/>
      <c r="I48" s="5"/>
      <c r="J48" s="5"/>
      <c r="K48" s="5"/>
      <c r="L48" s="9"/>
    </row>
    <row r="49" spans="1:12" x14ac:dyDescent="0.25">
      <c r="A49" s="4"/>
      <c r="B49" s="5"/>
      <c r="C49" s="6"/>
      <c r="D49" s="7"/>
      <c r="E49" s="6"/>
      <c r="F49" s="5"/>
      <c r="G49" s="8"/>
      <c r="H49" s="5"/>
      <c r="I49" s="5"/>
      <c r="J49" s="5"/>
      <c r="K49" s="5"/>
      <c r="L49" s="9"/>
    </row>
    <row r="50" spans="1:12" x14ac:dyDescent="0.25">
      <c r="A50" s="4"/>
      <c r="B50" s="5"/>
      <c r="C50" s="6"/>
      <c r="D50" s="7"/>
      <c r="E50" s="6"/>
      <c r="F50" s="5"/>
      <c r="G50" s="8"/>
      <c r="H50" s="5"/>
      <c r="I50" s="5"/>
      <c r="J50" s="5"/>
      <c r="K50" s="5"/>
      <c r="L50" s="9"/>
    </row>
    <row r="51" spans="1:12" x14ac:dyDescent="0.25">
      <c r="A51" s="4"/>
      <c r="B51" s="5"/>
      <c r="C51" s="6"/>
      <c r="D51" s="7"/>
      <c r="E51" s="6"/>
      <c r="F51" s="5"/>
      <c r="G51" s="8"/>
      <c r="H51" s="5"/>
      <c r="I51" s="5"/>
      <c r="J51" s="5"/>
      <c r="K51" s="5"/>
      <c r="L51" s="9"/>
    </row>
    <row r="52" spans="1:12" x14ac:dyDescent="0.25">
      <c r="A52" s="4"/>
      <c r="B52" s="5"/>
      <c r="C52" s="6"/>
      <c r="D52" s="7"/>
      <c r="E52" s="6"/>
      <c r="F52" s="5"/>
      <c r="G52" s="8"/>
      <c r="H52" s="5"/>
      <c r="I52" s="5"/>
      <c r="J52" s="5"/>
      <c r="K52" s="5"/>
      <c r="L52" s="9"/>
    </row>
    <row r="53" spans="1:12" x14ac:dyDescent="0.25">
      <c r="A53" s="4"/>
      <c r="B53" s="5"/>
      <c r="C53" s="6"/>
      <c r="D53" s="7"/>
      <c r="E53" s="6"/>
      <c r="F53" s="5"/>
      <c r="G53" s="8"/>
      <c r="H53" s="5"/>
      <c r="I53" s="5"/>
      <c r="J53" s="5"/>
      <c r="K53" s="5"/>
      <c r="L53" s="9"/>
    </row>
    <row r="54" spans="1:12" x14ac:dyDescent="0.25">
      <c r="A54" s="4"/>
      <c r="B54" s="5"/>
      <c r="C54" s="6"/>
      <c r="D54" s="7"/>
      <c r="E54" s="6"/>
      <c r="F54" s="5"/>
      <c r="G54" s="8"/>
      <c r="H54" s="5"/>
      <c r="I54" s="5"/>
      <c r="J54" s="5"/>
      <c r="K54" s="5"/>
      <c r="L54" s="9"/>
    </row>
    <row r="55" spans="1:12" x14ac:dyDescent="0.25">
      <c r="A55" s="4"/>
      <c r="B55" s="5"/>
      <c r="C55" s="6"/>
      <c r="D55" s="7"/>
      <c r="E55" s="6"/>
      <c r="F55" s="5"/>
      <c r="G55" s="8"/>
      <c r="H55" s="5"/>
      <c r="I55" s="5"/>
      <c r="J55" s="5"/>
      <c r="K55" s="5"/>
      <c r="L55" s="9"/>
    </row>
    <row r="56" spans="1:12" x14ac:dyDescent="0.25">
      <c r="A56" s="4"/>
      <c r="B56" s="5"/>
      <c r="C56" s="6"/>
      <c r="D56" s="7"/>
      <c r="E56" s="6"/>
      <c r="F56" s="5"/>
      <c r="G56" s="8"/>
      <c r="H56" s="5"/>
      <c r="I56" s="5"/>
      <c r="J56" s="5"/>
      <c r="K56" s="5"/>
      <c r="L56" s="9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5"/>
  <sheetViews>
    <sheetView workbookViewId="0">
      <selection activeCell="F5" sqref="F5"/>
    </sheetView>
  </sheetViews>
  <sheetFormatPr defaultRowHeight="15" x14ac:dyDescent="0.25"/>
  <cols>
    <col min="1" max="1" width="13.140625" style="24" bestFit="1" customWidth="1"/>
    <col min="2" max="2" width="23.7109375" style="24" bestFit="1" customWidth="1"/>
    <col min="3" max="3" width="12.42578125" style="24" bestFit="1" customWidth="1"/>
    <col min="4" max="4" width="8.7109375" style="24" bestFit="1" customWidth="1"/>
    <col min="5" max="5" width="17.28515625" style="24" bestFit="1" customWidth="1"/>
    <col min="6" max="6" width="11.42578125" style="24" customWidth="1"/>
    <col min="7" max="7" width="10.85546875" style="24" customWidth="1"/>
    <col min="8" max="8" width="12.140625" style="24" customWidth="1"/>
    <col min="9" max="9" width="35.42578125" style="24" bestFit="1" customWidth="1"/>
    <col min="10" max="10" width="19.85546875" style="24" bestFit="1" customWidth="1"/>
    <col min="11" max="11" width="34.5703125" style="24" customWidth="1"/>
    <col min="12" max="12" width="26" style="24" customWidth="1"/>
    <col min="13" max="16384" width="9.140625" style="24"/>
  </cols>
  <sheetData>
    <row r="1" spans="1:12" ht="39.950000000000003" customHeight="1" x14ac:dyDescent="0.25">
      <c r="A1" s="18" t="s">
        <v>2</v>
      </c>
      <c r="B1" s="18" t="s">
        <v>3</v>
      </c>
      <c r="C1" s="18" t="s">
        <v>4</v>
      </c>
      <c r="D1" s="18" t="s">
        <v>5</v>
      </c>
      <c r="E1" s="18" t="s">
        <v>6</v>
      </c>
      <c r="F1" s="18" t="s">
        <v>7</v>
      </c>
      <c r="G1" s="18" t="s">
        <v>8</v>
      </c>
      <c r="H1" s="18" t="s">
        <v>9</v>
      </c>
      <c r="I1" s="18" t="s">
        <v>10</v>
      </c>
      <c r="J1" s="18" t="s">
        <v>11</v>
      </c>
      <c r="K1" s="18" t="s">
        <v>12</v>
      </c>
      <c r="L1" s="18" t="s">
        <v>13</v>
      </c>
    </row>
    <row r="2" spans="1:12" ht="39.950000000000003" customHeight="1" x14ac:dyDescent="0.25">
      <c r="A2" s="19" t="s">
        <v>2239</v>
      </c>
      <c r="B2" s="20" t="s">
        <v>2240</v>
      </c>
      <c r="C2" s="21">
        <v>1</v>
      </c>
      <c r="D2" s="22">
        <v>189.99</v>
      </c>
      <c r="E2" s="21" t="s">
        <v>2241</v>
      </c>
      <c r="F2" s="20" t="s">
        <v>394</v>
      </c>
      <c r="G2" s="19" t="s">
        <v>2242</v>
      </c>
      <c r="H2" s="20" t="s">
        <v>865</v>
      </c>
      <c r="I2" s="20" t="s">
        <v>1739</v>
      </c>
      <c r="J2" s="20" t="s">
        <v>20</v>
      </c>
      <c r="K2" s="20" t="s">
        <v>330</v>
      </c>
      <c r="L2" s="23" t="str">
        <f>HYPERLINK("http://slimages.macys.com/is/image/MCY/13067606 ")</f>
        <v xml:space="preserve">http://slimages.macys.com/is/image/MCY/13067606 </v>
      </c>
    </row>
    <row r="3" spans="1:12" ht="39.950000000000003" customHeight="1" x14ac:dyDescent="0.25">
      <c r="A3" s="19" t="s">
        <v>2243</v>
      </c>
      <c r="B3" s="20" t="s">
        <v>2206</v>
      </c>
      <c r="C3" s="21">
        <v>1</v>
      </c>
      <c r="D3" s="22">
        <v>179.99</v>
      </c>
      <c r="E3" s="21" t="s">
        <v>2244</v>
      </c>
      <c r="F3" s="20" t="s">
        <v>89</v>
      </c>
      <c r="G3" s="19" t="s">
        <v>1512</v>
      </c>
      <c r="H3" s="20" t="s">
        <v>782</v>
      </c>
      <c r="I3" s="20" t="s">
        <v>2208</v>
      </c>
      <c r="J3" s="20" t="s">
        <v>20</v>
      </c>
      <c r="K3" s="20" t="s">
        <v>2245</v>
      </c>
      <c r="L3" s="23" t="str">
        <f>HYPERLINK("http://slimages.macys.com/is/image/MCY/11503239 ")</f>
        <v xml:space="preserve">http://slimages.macys.com/is/image/MCY/11503239 </v>
      </c>
    </row>
    <row r="4" spans="1:12" ht="39.950000000000003" customHeight="1" x14ac:dyDescent="0.25">
      <c r="A4" s="19" t="s">
        <v>2246</v>
      </c>
      <c r="B4" s="20" t="s">
        <v>2247</v>
      </c>
      <c r="C4" s="21">
        <v>1</v>
      </c>
      <c r="D4" s="22">
        <v>249.99</v>
      </c>
      <c r="E4" s="21" t="s">
        <v>2248</v>
      </c>
      <c r="F4" s="20" t="s">
        <v>691</v>
      </c>
      <c r="G4" s="19"/>
      <c r="H4" s="20" t="s">
        <v>707</v>
      </c>
      <c r="I4" s="20" t="s">
        <v>874</v>
      </c>
      <c r="J4" s="20"/>
      <c r="K4" s="20"/>
      <c r="L4" s="23" t="str">
        <f>HYPERLINK("http://slimages.macys.com/is/image/MCY/17530945 ")</f>
        <v xml:space="preserve">http://slimages.macys.com/is/image/MCY/17530945 </v>
      </c>
    </row>
    <row r="5" spans="1:12" ht="39.950000000000003" customHeight="1" x14ac:dyDescent="0.25">
      <c r="A5" s="19" t="s">
        <v>2249</v>
      </c>
      <c r="B5" s="20" t="s">
        <v>2250</v>
      </c>
      <c r="C5" s="21">
        <v>3</v>
      </c>
      <c r="D5" s="22">
        <v>749.97</v>
      </c>
      <c r="E5" s="21" t="s">
        <v>2251</v>
      </c>
      <c r="F5" s="20" t="s">
        <v>31</v>
      </c>
      <c r="G5" s="19"/>
      <c r="H5" s="20" t="s">
        <v>707</v>
      </c>
      <c r="I5" s="20" t="s">
        <v>874</v>
      </c>
      <c r="J5" s="20" t="s">
        <v>20</v>
      </c>
      <c r="K5" s="20" t="s">
        <v>2252</v>
      </c>
      <c r="L5" s="23" t="str">
        <f>HYPERLINK("http://slimages.macys.com/is/image/MCY/12898898 ")</f>
        <v xml:space="preserve">http://slimages.macys.com/is/image/MCY/12898898 </v>
      </c>
    </row>
    <row r="6" spans="1:12" ht="39.950000000000003" customHeight="1" x14ac:dyDescent="0.25">
      <c r="A6" s="19" t="s">
        <v>2253</v>
      </c>
      <c r="B6" s="20" t="s">
        <v>2254</v>
      </c>
      <c r="C6" s="21">
        <v>1</v>
      </c>
      <c r="D6" s="22">
        <v>149.99</v>
      </c>
      <c r="E6" s="21" t="s">
        <v>2255</v>
      </c>
      <c r="F6" s="20" t="s">
        <v>31</v>
      </c>
      <c r="G6" s="19"/>
      <c r="H6" s="20" t="s">
        <v>734</v>
      </c>
      <c r="I6" s="20" t="s">
        <v>2256</v>
      </c>
      <c r="J6" s="20" t="s">
        <v>20</v>
      </c>
      <c r="K6" s="20" t="s">
        <v>936</v>
      </c>
      <c r="L6" s="23" t="str">
        <f>HYPERLINK("http://slimages.macys.com/is/image/MCY/15866260 ")</f>
        <v xml:space="preserve">http://slimages.macys.com/is/image/MCY/15866260 </v>
      </c>
    </row>
    <row r="7" spans="1:12" ht="39.950000000000003" customHeight="1" x14ac:dyDescent="0.25">
      <c r="A7" s="19" t="s">
        <v>2257</v>
      </c>
      <c r="B7" s="20" t="s">
        <v>2258</v>
      </c>
      <c r="C7" s="21">
        <v>1</v>
      </c>
      <c r="D7" s="22">
        <v>205.99</v>
      </c>
      <c r="E7" s="21" t="s">
        <v>2259</v>
      </c>
      <c r="F7" s="20" t="s">
        <v>89</v>
      </c>
      <c r="G7" s="19"/>
      <c r="H7" s="20" t="s">
        <v>745</v>
      </c>
      <c r="I7" s="20" t="s">
        <v>2260</v>
      </c>
      <c r="J7" s="20" t="s">
        <v>20</v>
      </c>
      <c r="K7" s="20" t="s">
        <v>330</v>
      </c>
      <c r="L7" s="23" t="str">
        <f>HYPERLINK("http://slimages.macys.com/is/image/MCY/15932440 ")</f>
        <v xml:space="preserve">http://slimages.macys.com/is/image/MCY/15932440 </v>
      </c>
    </row>
    <row r="8" spans="1:12" ht="39.950000000000003" customHeight="1" x14ac:dyDescent="0.25">
      <c r="A8" s="19" t="s">
        <v>2261</v>
      </c>
      <c r="B8" s="20" t="s">
        <v>2262</v>
      </c>
      <c r="C8" s="21">
        <v>1</v>
      </c>
      <c r="D8" s="22">
        <v>229.99</v>
      </c>
      <c r="E8" s="21" t="s">
        <v>2263</v>
      </c>
      <c r="F8" s="20" t="s">
        <v>89</v>
      </c>
      <c r="G8" s="19"/>
      <c r="H8" s="20" t="s">
        <v>707</v>
      </c>
      <c r="I8" s="20" t="s">
        <v>730</v>
      </c>
      <c r="J8" s="20" t="s">
        <v>20</v>
      </c>
      <c r="K8" s="20" t="s">
        <v>2264</v>
      </c>
      <c r="L8" s="23" t="str">
        <f>HYPERLINK("http://slimages.macys.com/is/image/MCY/11953123 ")</f>
        <v xml:space="preserve">http://slimages.macys.com/is/image/MCY/11953123 </v>
      </c>
    </row>
    <row r="9" spans="1:12" ht="39.950000000000003" customHeight="1" x14ac:dyDescent="0.25">
      <c r="A9" s="19" t="s">
        <v>2265</v>
      </c>
      <c r="B9" s="20" t="s">
        <v>2266</v>
      </c>
      <c r="C9" s="21">
        <v>1</v>
      </c>
      <c r="D9" s="22">
        <v>169.99</v>
      </c>
      <c r="E9" s="21" t="s">
        <v>2267</v>
      </c>
      <c r="F9" s="20" t="s">
        <v>89</v>
      </c>
      <c r="G9" s="19" t="s">
        <v>1486</v>
      </c>
      <c r="H9" s="20" t="s">
        <v>739</v>
      </c>
      <c r="I9" s="20" t="s">
        <v>1561</v>
      </c>
      <c r="J9" s="20" t="s">
        <v>132</v>
      </c>
      <c r="K9" s="20"/>
      <c r="L9" s="23" t="str">
        <f>HYPERLINK("http://slimages.macys.com/is/image/MCY/8905437 ")</f>
        <v xml:space="preserve">http://slimages.macys.com/is/image/MCY/8905437 </v>
      </c>
    </row>
    <row r="10" spans="1:12" ht="39.950000000000003" customHeight="1" x14ac:dyDescent="0.25">
      <c r="A10" s="19" t="s">
        <v>2268</v>
      </c>
      <c r="B10" s="20" t="s">
        <v>2269</v>
      </c>
      <c r="C10" s="21">
        <v>1</v>
      </c>
      <c r="D10" s="22">
        <v>121.99</v>
      </c>
      <c r="E10" s="21" t="s">
        <v>2270</v>
      </c>
      <c r="F10" s="20" t="s">
        <v>555</v>
      </c>
      <c r="G10" s="19"/>
      <c r="H10" s="20" t="s">
        <v>712</v>
      </c>
      <c r="I10" s="20" t="s">
        <v>746</v>
      </c>
      <c r="J10" s="20" t="s">
        <v>20</v>
      </c>
      <c r="K10" s="20" t="s">
        <v>2271</v>
      </c>
      <c r="L10" s="23" t="str">
        <f>HYPERLINK("http://slimages.macys.com/is/image/MCY/11112502 ")</f>
        <v xml:space="preserve">http://slimages.macys.com/is/image/MCY/11112502 </v>
      </c>
    </row>
    <row r="11" spans="1:12" ht="39.950000000000003" customHeight="1" x14ac:dyDescent="0.25">
      <c r="A11" s="19" t="s">
        <v>2272</v>
      </c>
      <c r="B11" s="20" t="s">
        <v>2273</v>
      </c>
      <c r="C11" s="21">
        <v>1</v>
      </c>
      <c r="D11" s="22">
        <v>98.99</v>
      </c>
      <c r="E11" s="21" t="s">
        <v>2274</v>
      </c>
      <c r="F11" s="20" t="s">
        <v>89</v>
      </c>
      <c r="G11" s="19" t="s">
        <v>2275</v>
      </c>
      <c r="H11" s="20" t="s">
        <v>782</v>
      </c>
      <c r="I11" s="20" t="s">
        <v>1513</v>
      </c>
      <c r="J11" s="20"/>
      <c r="K11" s="20" t="s">
        <v>2276</v>
      </c>
      <c r="L11" s="23" t="str">
        <f>HYPERLINK("http://slimages.macys.com/is/image/MCY/11204783 ")</f>
        <v xml:space="preserve">http://slimages.macys.com/is/image/MCY/11204783 </v>
      </c>
    </row>
    <row r="12" spans="1:12" ht="39.950000000000003" customHeight="1" x14ac:dyDescent="0.25">
      <c r="A12" s="19" t="s">
        <v>2277</v>
      </c>
      <c r="B12" s="20" t="s">
        <v>2278</v>
      </c>
      <c r="C12" s="21">
        <v>1</v>
      </c>
      <c r="D12" s="22">
        <v>219.99</v>
      </c>
      <c r="E12" s="21" t="s">
        <v>2279</v>
      </c>
      <c r="F12" s="20" t="s">
        <v>89</v>
      </c>
      <c r="G12" s="19" t="s">
        <v>1687</v>
      </c>
      <c r="H12" s="20" t="s">
        <v>707</v>
      </c>
      <c r="I12" s="20" t="s">
        <v>2280</v>
      </c>
      <c r="J12" s="20" t="s">
        <v>20</v>
      </c>
      <c r="K12" s="20" t="s">
        <v>846</v>
      </c>
      <c r="L12" s="23" t="str">
        <f>HYPERLINK("http://slimages.macys.com/is/image/MCY/8820200 ")</f>
        <v xml:space="preserve">http://slimages.macys.com/is/image/MCY/8820200 </v>
      </c>
    </row>
    <row r="13" spans="1:12" ht="39.950000000000003" customHeight="1" x14ac:dyDescent="0.25">
      <c r="A13" s="19" t="s">
        <v>2281</v>
      </c>
      <c r="B13" s="20" t="s">
        <v>2282</v>
      </c>
      <c r="C13" s="21">
        <v>1</v>
      </c>
      <c r="D13" s="22">
        <v>109.99</v>
      </c>
      <c r="E13" s="21" t="s">
        <v>2283</v>
      </c>
      <c r="F13" s="20" t="s">
        <v>755</v>
      </c>
      <c r="G13" s="19"/>
      <c r="H13" s="20" t="s">
        <v>1673</v>
      </c>
      <c r="I13" s="20" t="s">
        <v>1674</v>
      </c>
      <c r="J13" s="20"/>
      <c r="K13" s="20"/>
      <c r="L13" s="23" t="str">
        <f>HYPERLINK("http://slimages.macys.com/is/image/MCY/18893487 ")</f>
        <v xml:space="preserve">http://slimages.macys.com/is/image/MCY/18893487 </v>
      </c>
    </row>
    <row r="14" spans="1:12" ht="39.950000000000003" customHeight="1" x14ac:dyDescent="0.25">
      <c r="A14" s="19" t="s">
        <v>2284</v>
      </c>
      <c r="B14" s="20" t="s">
        <v>2285</v>
      </c>
      <c r="C14" s="21">
        <v>1</v>
      </c>
      <c r="D14" s="22">
        <v>109.99</v>
      </c>
      <c r="E14" s="21" t="s">
        <v>2286</v>
      </c>
      <c r="F14" s="20"/>
      <c r="G14" s="19"/>
      <c r="H14" s="20" t="s">
        <v>712</v>
      </c>
      <c r="I14" s="20" t="s">
        <v>746</v>
      </c>
      <c r="J14" s="20"/>
      <c r="K14" s="20"/>
      <c r="L14" s="23" t="str">
        <f>HYPERLINK("http://slimages.macys.com/is/image/MCY/17900439 ")</f>
        <v xml:space="preserve">http://slimages.macys.com/is/image/MCY/17900439 </v>
      </c>
    </row>
    <row r="15" spans="1:12" ht="39.950000000000003" customHeight="1" x14ac:dyDescent="0.25">
      <c r="A15" s="19" t="s">
        <v>2287</v>
      </c>
      <c r="B15" s="20" t="s">
        <v>2288</v>
      </c>
      <c r="C15" s="21">
        <v>1</v>
      </c>
      <c r="D15" s="22">
        <v>114.99</v>
      </c>
      <c r="E15" s="21" t="s">
        <v>2289</v>
      </c>
      <c r="F15" s="20" t="s">
        <v>131</v>
      </c>
      <c r="G15" s="19" t="s">
        <v>2290</v>
      </c>
      <c r="H15" s="20" t="s">
        <v>745</v>
      </c>
      <c r="I15" s="20" t="s">
        <v>1881</v>
      </c>
      <c r="J15" s="20" t="s">
        <v>20</v>
      </c>
      <c r="K15" s="20" t="s">
        <v>1080</v>
      </c>
      <c r="L15" s="23" t="str">
        <f>HYPERLINK("http://slimages.macys.com/is/image/MCY/10357645 ")</f>
        <v xml:space="preserve">http://slimages.macys.com/is/image/MCY/10357645 </v>
      </c>
    </row>
    <row r="16" spans="1:12" ht="39.950000000000003" customHeight="1" x14ac:dyDescent="0.25">
      <c r="A16" s="19" t="s">
        <v>2291</v>
      </c>
      <c r="B16" s="20" t="s">
        <v>2292</v>
      </c>
      <c r="C16" s="21">
        <v>1</v>
      </c>
      <c r="D16" s="22">
        <v>49.99</v>
      </c>
      <c r="E16" s="21">
        <v>4403</v>
      </c>
      <c r="F16" s="20" t="s">
        <v>89</v>
      </c>
      <c r="G16" s="19" t="s">
        <v>1486</v>
      </c>
      <c r="H16" s="20" t="s">
        <v>1644</v>
      </c>
      <c r="I16" s="20" t="s">
        <v>2293</v>
      </c>
      <c r="J16" s="20" t="s">
        <v>20</v>
      </c>
      <c r="K16" s="20" t="s">
        <v>2294</v>
      </c>
      <c r="L16" s="23" t="str">
        <f>HYPERLINK("http://slimages.macys.com/is/image/MCY/9873929 ")</f>
        <v xml:space="preserve">http://slimages.macys.com/is/image/MCY/9873929 </v>
      </c>
    </row>
    <row r="17" spans="1:12" ht="39.950000000000003" customHeight="1" x14ac:dyDescent="0.25">
      <c r="A17" s="19" t="s">
        <v>2295</v>
      </c>
      <c r="B17" s="20" t="s">
        <v>2296</v>
      </c>
      <c r="C17" s="21">
        <v>1</v>
      </c>
      <c r="D17" s="22">
        <v>99.99</v>
      </c>
      <c r="E17" s="21" t="s">
        <v>2297</v>
      </c>
      <c r="F17" s="20" t="s">
        <v>759</v>
      </c>
      <c r="G17" s="19"/>
      <c r="H17" s="20" t="s">
        <v>772</v>
      </c>
      <c r="I17" s="20" t="s">
        <v>773</v>
      </c>
      <c r="J17" s="20" t="s">
        <v>20</v>
      </c>
      <c r="K17" s="20" t="s">
        <v>1052</v>
      </c>
      <c r="L17" s="23" t="str">
        <f>HYPERLINK("http://slimages.macys.com/is/image/MCY/11607139 ")</f>
        <v xml:space="preserve">http://slimages.macys.com/is/image/MCY/11607139 </v>
      </c>
    </row>
    <row r="18" spans="1:12" ht="39.950000000000003" customHeight="1" x14ac:dyDescent="0.25">
      <c r="A18" s="19" t="s">
        <v>2298</v>
      </c>
      <c r="B18" s="20" t="s">
        <v>2299</v>
      </c>
      <c r="C18" s="21">
        <v>1</v>
      </c>
      <c r="D18" s="22">
        <v>53.99</v>
      </c>
      <c r="E18" s="21">
        <v>70278</v>
      </c>
      <c r="F18" s="20" t="s">
        <v>1321</v>
      </c>
      <c r="G18" s="19" t="s">
        <v>17</v>
      </c>
      <c r="H18" s="20" t="s">
        <v>745</v>
      </c>
      <c r="I18" s="20" t="s">
        <v>2300</v>
      </c>
      <c r="J18" s="20" t="s">
        <v>110</v>
      </c>
      <c r="K18" s="20" t="s">
        <v>396</v>
      </c>
      <c r="L18" s="23" t="str">
        <f>HYPERLINK("http://slimages.macys.com/is/image/MCY/14611780 ")</f>
        <v xml:space="preserve">http://slimages.macys.com/is/image/MCY/14611780 </v>
      </c>
    </row>
    <row r="19" spans="1:12" ht="39.950000000000003" customHeight="1" x14ac:dyDescent="0.25">
      <c r="A19" s="19" t="s">
        <v>2301</v>
      </c>
      <c r="B19" s="20" t="s">
        <v>2302</v>
      </c>
      <c r="C19" s="21">
        <v>1</v>
      </c>
      <c r="D19" s="22">
        <v>65.989999999999995</v>
      </c>
      <c r="E19" s="21" t="s">
        <v>2303</v>
      </c>
      <c r="F19" s="20" t="s">
        <v>691</v>
      </c>
      <c r="G19" s="19"/>
      <c r="H19" s="20" t="s">
        <v>718</v>
      </c>
      <c r="I19" s="20" t="s">
        <v>2304</v>
      </c>
      <c r="J19" s="20" t="s">
        <v>20</v>
      </c>
      <c r="K19" s="20" t="s">
        <v>330</v>
      </c>
      <c r="L19" s="23" t="str">
        <f>HYPERLINK("http://slimages.macys.com/is/image/MCY/15614082 ")</f>
        <v xml:space="preserve">http://slimages.macys.com/is/image/MCY/15614082 </v>
      </c>
    </row>
    <row r="20" spans="1:12" ht="39.950000000000003" customHeight="1" x14ac:dyDescent="0.25">
      <c r="A20" s="19" t="s">
        <v>2305</v>
      </c>
      <c r="B20" s="20" t="s">
        <v>2306</v>
      </c>
      <c r="C20" s="21">
        <v>1</v>
      </c>
      <c r="D20" s="22">
        <v>66.989999999999995</v>
      </c>
      <c r="E20" s="21" t="s">
        <v>2307</v>
      </c>
      <c r="F20" s="20" t="s">
        <v>1036</v>
      </c>
      <c r="G20" s="19" t="s">
        <v>2308</v>
      </c>
      <c r="H20" s="20" t="s">
        <v>745</v>
      </c>
      <c r="I20" s="20" t="s">
        <v>2227</v>
      </c>
      <c r="J20" s="20" t="s">
        <v>20</v>
      </c>
      <c r="K20" s="20" t="s">
        <v>396</v>
      </c>
      <c r="L20" s="23" t="str">
        <f>HYPERLINK("http://slimages.macys.com/is/image/MCY/16494296 ")</f>
        <v xml:space="preserve">http://slimages.macys.com/is/image/MCY/16494296 </v>
      </c>
    </row>
    <row r="21" spans="1:12" ht="39.950000000000003" customHeight="1" x14ac:dyDescent="0.25">
      <c r="A21" s="19" t="s">
        <v>2309</v>
      </c>
      <c r="B21" s="20" t="s">
        <v>2310</v>
      </c>
      <c r="C21" s="21">
        <v>1</v>
      </c>
      <c r="D21" s="22">
        <v>337.99</v>
      </c>
      <c r="E21" s="21" t="s">
        <v>2311</v>
      </c>
      <c r="F21" s="20" t="s">
        <v>674</v>
      </c>
      <c r="G21" s="19"/>
      <c r="H21" s="20" t="s">
        <v>712</v>
      </c>
      <c r="I21" s="20" t="s">
        <v>2125</v>
      </c>
      <c r="J21" s="20" t="s">
        <v>20</v>
      </c>
      <c r="K21" s="20" t="s">
        <v>330</v>
      </c>
      <c r="L21" s="23" t="str">
        <f>HYPERLINK("http://slimages.macys.com/is/image/MCY/15301615 ")</f>
        <v xml:space="preserve">http://slimages.macys.com/is/image/MCY/15301615 </v>
      </c>
    </row>
    <row r="22" spans="1:12" ht="39.950000000000003" customHeight="1" x14ac:dyDescent="0.25">
      <c r="A22" s="19" t="s">
        <v>2312</v>
      </c>
      <c r="B22" s="20" t="s">
        <v>2313</v>
      </c>
      <c r="C22" s="21">
        <v>1</v>
      </c>
      <c r="D22" s="22">
        <v>59.99</v>
      </c>
      <c r="E22" s="21" t="s">
        <v>2314</v>
      </c>
      <c r="F22" s="20" t="s">
        <v>922</v>
      </c>
      <c r="G22" s="19"/>
      <c r="H22" s="20" t="s">
        <v>718</v>
      </c>
      <c r="I22" s="20" t="s">
        <v>806</v>
      </c>
      <c r="J22" s="20" t="s">
        <v>20</v>
      </c>
      <c r="K22" s="20" t="s">
        <v>362</v>
      </c>
      <c r="L22" s="23" t="str">
        <f>HYPERLINK("http://slimages.macys.com/is/image/MCY/13036438 ")</f>
        <v xml:space="preserve">http://slimages.macys.com/is/image/MCY/13036438 </v>
      </c>
    </row>
    <row r="23" spans="1:12" ht="39.950000000000003" customHeight="1" x14ac:dyDescent="0.25">
      <c r="A23" s="19" t="s">
        <v>2315</v>
      </c>
      <c r="B23" s="20" t="s">
        <v>2316</v>
      </c>
      <c r="C23" s="21">
        <v>1</v>
      </c>
      <c r="D23" s="22">
        <v>69.989999999999995</v>
      </c>
      <c r="E23" s="21" t="s">
        <v>2317</v>
      </c>
      <c r="F23" s="20" t="s">
        <v>89</v>
      </c>
      <c r="G23" s="19"/>
      <c r="H23" s="20" t="s">
        <v>772</v>
      </c>
      <c r="I23" s="20" t="s">
        <v>773</v>
      </c>
      <c r="J23" s="20" t="s">
        <v>20</v>
      </c>
      <c r="K23" s="20" t="s">
        <v>1052</v>
      </c>
      <c r="L23" s="23" t="str">
        <f>HYPERLINK("http://slimages.macys.com/is/image/MCY/8433239 ")</f>
        <v xml:space="preserve">http://slimages.macys.com/is/image/MCY/8433239 </v>
      </c>
    </row>
    <row r="24" spans="1:12" ht="39.950000000000003" customHeight="1" x14ac:dyDescent="0.25">
      <c r="A24" s="19" t="s">
        <v>2318</v>
      </c>
      <c r="B24" s="20" t="s">
        <v>2319</v>
      </c>
      <c r="C24" s="21">
        <v>1</v>
      </c>
      <c r="D24" s="22">
        <v>59.99</v>
      </c>
      <c r="E24" s="21" t="s">
        <v>2320</v>
      </c>
      <c r="F24" s="20" t="s">
        <v>2321</v>
      </c>
      <c r="G24" s="19"/>
      <c r="H24" s="20" t="s">
        <v>865</v>
      </c>
      <c r="I24" s="20" t="s">
        <v>2322</v>
      </c>
      <c r="J24" s="20" t="s">
        <v>20</v>
      </c>
      <c r="K24" s="20" t="s">
        <v>798</v>
      </c>
      <c r="L24" s="23" t="str">
        <f>HYPERLINK("http://slimages.macys.com/is/image/MCY/12345539 ")</f>
        <v xml:space="preserve">http://slimages.macys.com/is/image/MCY/12345539 </v>
      </c>
    </row>
    <row r="25" spans="1:12" ht="39.950000000000003" customHeight="1" x14ac:dyDescent="0.25">
      <c r="A25" s="19" t="s">
        <v>2323</v>
      </c>
      <c r="B25" s="20" t="s">
        <v>2324</v>
      </c>
      <c r="C25" s="21">
        <v>2</v>
      </c>
      <c r="D25" s="22">
        <v>167.98</v>
      </c>
      <c r="E25" s="21">
        <v>13959</v>
      </c>
      <c r="F25" s="20" t="s">
        <v>394</v>
      </c>
      <c r="G25" s="19"/>
      <c r="H25" s="20" t="s">
        <v>712</v>
      </c>
      <c r="I25" s="20" t="s">
        <v>2325</v>
      </c>
      <c r="J25" s="20" t="s">
        <v>20</v>
      </c>
      <c r="K25" s="20" t="s">
        <v>936</v>
      </c>
      <c r="L25" s="23" t="str">
        <f>HYPERLINK("http://slimages.macys.com/is/image/MCY/16296501 ")</f>
        <v xml:space="preserve">http://slimages.macys.com/is/image/MCY/16296501 </v>
      </c>
    </row>
    <row r="26" spans="1:12" ht="39.950000000000003" customHeight="1" x14ac:dyDescent="0.25">
      <c r="A26" s="19" t="s">
        <v>2326</v>
      </c>
      <c r="B26" s="20" t="s">
        <v>2327</v>
      </c>
      <c r="C26" s="21">
        <v>1</v>
      </c>
      <c r="D26" s="22">
        <v>60.99</v>
      </c>
      <c r="E26" s="21" t="s">
        <v>2328</v>
      </c>
      <c r="F26" s="20" t="s">
        <v>89</v>
      </c>
      <c r="G26" s="19"/>
      <c r="H26" s="20" t="s">
        <v>745</v>
      </c>
      <c r="I26" s="20" t="s">
        <v>746</v>
      </c>
      <c r="J26" s="20" t="s">
        <v>20</v>
      </c>
      <c r="K26" s="20" t="s">
        <v>2329</v>
      </c>
      <c r="L26" s="23" t="str">
        <f>HYPERLINK("http://slimages.macys.com/is/image/MCY/12291966 ")</f>
        <v xml:space="preserve">http://slimages.macys.com/is/image/MCY/12291966 </v>
      </c>
    </row>
    <row r="27" spans="1:12" ht="39.950000000000003" customHeight="1" x14ac:dyDescent="0.25">
      <c r="A27" s="19" t="s">
        <v>2330</v>
      </c>
      <c r="B27" s="20" t="s">
        <v>2331</v>
      </c>
      <c r="C27" s="21">
        <v>1</v>
      </c>
      <c r="D27" s="22">
        <v>59.99</v>
      </c>
      <c r="E27" s="21" t="s">
        <v>2332</v>
      </c>
      <c r="F27" s="20" t="s">
        <v>89</v>
      </c>
      <c r="G27" s="19"/>
      <c r="H27" s="20" t="s">
        <v>1157</v>
      </c>
      <c r="I27" s="20" t="s">
        <v>1158</v>
      </c>
      <c r="J27" s="20" t="s">
        <v>20</v>
      </c>
      <c r="K27" s="20"/>
      <c r="L27" s="23" t="str">
        <f>HYPERLINK("http://slimages.macys.com/is/image/MCY/8670787 ")</f>
        <v xml:space="preserve">http://slimages.macys.com/is/image/MCY/8670787 </v>
      </c>
    </row>
    <row r="28" spans="1:12" ht="39.950000000000003" customHeight="1" x14ac:dyDescent="0.25">
      <c r="A28" s="19" t="s">
        <v>2333</v>
      </c>
      <c r="B28" s="20" t="s">
        <v>2334</v>
      </c>
      <c r="C28" s="21">
        <v>1</v>
      </c>
      <c r="D28" s="22">
        <v>76.989999999999995</v>
      </c>
      <c r="E28" s="21" t="s">
        <v>2335</v>
      </c>
      <c r="F28" s="20" t="s">
        <v>89</v>
      </c>
      <c r="G28" s="19"/>
      <c r="H28" s="20" t="s">
        <v>782</v>
      </c>
      <c r="I28" s="20" t="s">
        <v>2336</v>
      </c>
      <c r="J28" s="20" t="s">
        <v>20</v>
      </c>
      <c r="K28" s="20" t="s">
        <v>2337</v>
      </c>
      <c r="L28" s="23" t="str">
        <f>HYPERLINK("http://slimages.macys.com/is/image/MCY/9950613 ")</f>
        <v xml:space="preserve">http://slimages.macys.com/is/image/MCY/9950613 </v>
      </c>
    </row>
    <row r="29" spans="1:12" ht="39.950000000000003" customHeight="1" x14ac:dyDescent="0.25">
      <c r="A29" s="19" t="s">
        <v>2338</v>
      </c>
      <c r="B29" s="20" t="s">
        <v>2339</v>
      </c>
      <c r="C29" s="21">
        <v>1</v>
      </c>
      <c r="D29" s="22">
        <v>55.99</v>
      </c>
      <c r="E29" s="21" t="s">
        <v>2340</v>
      </c>
      <c r="F29" s="20" t="s">
        <v>600</v>
      </c>
      <c r="G29" s="19"/>
      <c r="H29" s="20" t="s">
        <v>745</v>
      </c>
      <c r="I29" s="20" t="s">
        <v>746</v>
      </c>
      <c r="J29" s="20" t="s">
        <v>20</v>
      </c>
      <c r="K29" s="20" t="s">
        <v>396</v>
      </c>
      <c r="L29" s="23" t="str">
        <f>HYPERLINK("http://slimages.macys.com/is/image/MCY/9775066 ")</f>
        <v xml:space="preserve">http://slimages.macys.com/is/image/MCY/9775066 </v>
      </c>
    </row>
    <row r="30" spans="1:12" ht="39.950000000000003" customHeight="1" x14ac:dyDescent="0.25">
      <c r="A30" s="19" t="s">
        <v>2341</v>
      </c>
      <c r="B30" s="20" t="s">
        <v>2342</v>
      </c>
      <c r="C30" s="21">
        <v>1</v>
      </c>
      <c r="D30" s="22">
        <v>39.99</v>
      </c>
      <c r="E30" s="21" t="s">
        <v>2343</v>
      </c>
      <c r="F30" s="20" t="s">
        <v>610</v>
      </c>
      <c r="G30" s="19"/>
      <c r="H30" s="20" t="s">
        <v>745</v>
      </c>
      <c r="I30" s="20" t="s">
        <v>1659</v>
      </c>
      <c r="J30" s="20"/>
      <c r="K30" s="20"/>
      <c r="L30" s="23" t="str">
        <f>HYPERLINK("http://slimages.macys.com/is/image/MCY/17860470 ")</f>
        <v xml:space="preserve">http://slimages.macys.com/is/image/MCY/17860470 </v>
      </c>
    </row>
    <row r="31" spans="1:12" ht="39.950000000000003" customHeight="1" x14ac:dyDescent="0.25">
      <c r="A31" s="19" t="s">
        <v>2344</v>
      </c>
      <c r="B31" s="20" t="s">
        <v>2345</v>
      </c>
      <c r="C31" s="21">
        <v>1</v>
      </c>
      <c r="D31" s="22">
        <v>49.99</v>
      </c>
      <c r="E31" s="21" t="s">
        <v>2346</v>
      </c>
      <c r="F31" s="20" t="s">
        <v>555</v>
      </c>
      <c r="G31" s="19" t="s">
        <v>1486</v>
      </c>
      <c r="H31" s="20" t="s">
        <v>718</v>
      </c>
      <c r="I31" s="20" t="s">
        <v>856</v>
      </c>
      <c r="J31" s="20" t="s">
        <v>20</v>
      </c>
      <c r="K31" s="20" t="s">
        <v>861</v>
      </c>
      <c r="L31" s="23" t="str">
        <f>HYPERLINK("http://slimages.macys.com/is/image/MCY/10681803 ")</f>
        <v xml:space="preserve">http://slimages.macys.com/is/image/MCY/10681803 </v>
      </c>
    </row>
    <row r="32" spans="1:12" ht="39.950000000000003" customHeight="1" x14ac:dyDescent="0.25">
      <c r="A32" s="19" t="s">
        <v>2347</v>
      </c>
      <c r="B32" s="20" t="s">
        <v>2348</v>
      </c>
      <c r="C32" s="21">
        <v>1</v>
      </c>
      <c r="D32" s="22">
        <v>71.989999999999995</v>
      </c>
      <c r="E32" s="21" t="s">
        <v>2349</v>
      </c>
      <c r="F32" s="20" t="s">
        <v>576</v>
      </c>
      <c r="G32" s="19" t="s">
        <v>360</v>
      </c>
      <c r="H32" s="20" t="s">
        <v>745</v>
      </c>
      <c r="I32" s="20" t="s">
        <v>2082</v>
      </c>
      <c r="J32" s="20" t="s">
        <v>1067</v>
      </c>
      <c r="K32" s="20" t="s">
        <v>2083</v>
      </c>
      <c r="L32" s="23" t="str">
        <f>HYPERLINK("http://slimages.macys.com/is/image/MCY/16367314 ")</f>
        <v xml:space="preserve">http://slimages.macys.com/is/image/MCY/16367314 </v>
      </c>
    </row>
    <row r="33" spans="1:12" ht="39.950000000000003" customHeight="1" x14ac:dyDescent="0.25">
      <c r="A33" s="19" t="s">
        <v>2350</v>
      </c>
      <c r="B33" s="20" t="s">
        <v>2351</v>
      </c>
      <c r="C33" s="21">
        <v>1</v>
      </c>
      <c r="D33" s="22">
        <v>56.99</v>
      </c>
      <c r="E33" s="21" t="s">
        <v>2352</v>
      </c>
      <c r="F33" s="20" t="s">
        <v>759</v>
      </c>
      <c r="G33" s="19"/>
      <c r="H33" s="20" t="s">
        <v>765</v>
      </c>
      <c r="I33" s="20" t="s">
        <v>746</v>
      </c>
      <c r="J33" s="20" t="s">
        <v>20</v>
      </c>
      <c r="K33" s="20" t="s">
        <v>798</v>
      </c>
      <c r="L33" s="23" t="str">
        <f>HYPERLINK("http://slimages.macys.com/is/image/MCY/10764970 ")</f>
        <v xml:space="preserve">http://slimages.macys.com/is/image/MCY/10764970 </v>
      </c>
    </row>
    <row r="34" spans="1:12" ht="39.950000000000003" customHeight="1" x14ac:dyDescent="0.25">
      <c r="A34" s="19" t="s">
        <v>2353</v>
      </c>
      <c r="B34" s="20" t="s">
        <v>2354</v>
      </c>
      <c r="C34" s="21">
        <v>1</v>
      </c>
      <c r="D34" s="22">
        <v>79.989999999999995</v>
      </c>
      <c r="E34" s="21" t="s">
        <v>2355</v>
      </c>
      <c r="F34" s="20" t="s">
        <v>31</v>
      </c>
      <c r="G34" s="19"/>
      <c r="H34" s="20" t="s">
        <v>707</v>
      </c>
      <c r="I34" s="20" t="s">
        <v>874</v>
      </c>
      <c r="J34" s="20" t="s">
        <v>20</v>
      </c>
      <c r="K34" s="20" t="s">
        <v>362</v>
      </c>
      <c r="L34" s="23" t="str">
        <f>HYPERLINK("http://slimages.macys.com/is/image/MCY/13799471 ")</f>
        <v xml:space="preserve">http://slimages.macys.com/is/image/MCY/13799471 </v>
      </c>
    </row>
    <row r="35" spans="1:12" ht="39.950000000000003" customHeight="1" x14ac:dyDescent="0.25">
      <c r="A35" s="19" t="s">
        <v>2356</v>
      </c>
      <c r="B35" s="20" t="s">
        <v>2357</v>
      </c>
      <c r="C35" s="21">
        <v>1</v>
      </c>
      <c r="D35" s="22">
        <v>55.99</v>
      </c>
      <c r="E35" s="21" t="s">
        <v>2358</v>
      </c>
      <c r="F35" s="20" t="s">
        <v>89</v>
      </c>
      <c r="G35" s="19" t="s">
        <v>2146</v>
      </c>
      <c r="H35" s="20" t="s">
        <v>782</v>
      </c>
      <c r="I35" s="20" t="s">
        <v>2336</v>
      </c>
      <c r="J35" s="20" t="s">
        <v>20</v>
      </c>
      <c r="K35" s="20" t="s">
        <v>2359</v>
      </c>
      <c r="L35" s="23" t="str">
        <f>HYPERLINK("http://slimages.macys.com/is/image/MCY/9950592 ")</f>
        <v xml:space="preserve">http://slimages.macys.com/is/image/MCY/9950592 </v>
      </c>
    </row>
    <row r="36" spans="1:12" ht="39.950000000000003" customHeight="1" x14ac:dyDescent="0.25">
      <c r="A36" s="19" t="s">
        <v>2360</v>
      </c>
      <c r="B36" s="20" t="s">
        <v>2361</v>
      </c>
      <c r="C36" s="21">
        <v>1</v>
      </c>
      <c r="D36" s="22">
        <v>99.99</v>
      </c>
      <c r="E36" s="21" t="s">
        <v>2362</v>
      </c>
      <c r="F36" s="20" t="s">
        <v>89</v>
      </c>
      <c r="G36" s="19" t="s">
        <v>845</v>
      </c>
      <c r="H36" s="20" t="s">
        <v>707</v>
      </c>
      <c r="I36" s="20" t="s">
        <v>730</v>
      </c>
      <c r="J36" s="20" t="s">
        <v>20</v>
      </c>
      <c r="K36" s="20" t="s">
        <v>846</v>
      </c>
      <c r="L36" s="23" t="str">
        <f>HYPERLINK("http://slimages.macys.com/is/image/MCY/8182285 ")</f>
        <v xml:space="preserve">http://slimages.macys.com/is/image/MCY/8182285 </v>
      </c>
    </row>
    <row r="37" spans="1:12" ht="39.950000000000003" customHeight="1" x14ac:dyDescent="0.25">
      <c r="A37" s="19" t="s">
        <v>2363</v>
      </c>
      <c r="B37" s="20" t="s">
        <v>2364</v>
      </c>
      <c r="C37" s="21">
        <v>1</v>
      </c>
      <c r="D37" s="22">
        <v>59.99</v>
      </c>
      <c r="E37" s="21">
        <v>82256</v>
      </c>
      <c r="F37" s="20" t="s">
        <v>674</v>
      </c>
      <c r="G37" s="19"/>
      <c r="H37" s="20" t="s">
        <v>712</v>
      </c>
      <c r="I37" s="20" t="s">
        <v>1058</v>
      </c>
      <c r="J37" s="20" t="s">
        <v>20</v>
      </c>
      <c r="K37" s="20" t="s">
        <v>2365</v>
      </c>
      <c r="L37" s="23" t="str">
        <f>HYPERLINK("http://slimages.macys.com/is/image/MCY/16522516 ")</f>
        <v xml:space="preserve">http://slimages.macys.com/is/image/MCY/16522516 </v>
      </c>
    </row>
    <row r="38" spans="1:12" ht="39.950000000000003" customHeight="1" x14ac:dyDescent="0.25">
      <c r="A38" s="19" t="s">
        <v>2366</v>
      </c>
      <c r="B38" s="20" t="s">
        <v>2367</v>
      </c>
      <c r="C38" s="21">
        <v>1</v>
      </c>
      <c r="D38" s="22">
        <v>42.99</v>
      </c>
      <c r="E38" s="21" t="s">
        <v>2368</v>
      </c>
      <c r="F38" s="20" t="s">
        <v>2022</v>
      </c>
      <c r="G38" s="19"/>
      <c r="H38" s="20" t="s">
        <v>718</v>
      </c>
      <c r="I38" s="20" t="s">
        <v>2369</v>
      </c>
      <c r="J38" s="20" t="s">
        <v>20</v>
      </c>
      <c r="K38" s="20" t="s">
        <v>396</v>
      </c>
      <c r="L38" s="23" t="str">
        <f>HYPERLINK("http://slimages.macys.com/is/image/MCY/12742754 ")</f>
        <v xml:space="preserve">http://slimages.macys.com/is/image/MCY/12742754 </v>
      </c>
    </row>
    <row r="39" spans="1:12" ht="39.950000000000003" customHeight="1" x14ac:dyDescent="0.25">
      <c r="A39" s="19" t="s">
        <v>2370</v>
      </c>
      <c r="B39" s="20" t="s">
        <v>2371</v>
      </c>
      <c r="C39" s="21">
        <v>1</v>
      </c>
      <c r="D39" s="22">
        <v>45</v>
      </c>
      <c r="E39" s="21">
        <v>57551</v>
      </c>
      <c r="F39" s="20" t="s">
        <v>206</v>
      </c>
      <c r="G39" s="19"/>
      <c r="H39" s="20" t="s">
        <v>745</v>
      </c>
      <c r="I39" s="20" t="s">
        <v>1630</v>
      </c>
      <c r="J39" s="20"/>
      <c r="K39" s="20"/>
      <c r="L39" s="23" t="str">
        <f>HYPERLINK("http://slimages.macys.com/is/image/MCY/17441334 ")</f>
        <v xml:space="preserve">http://slimages.macys.com/is/image/MCY/17441334 </v>
      </c>
    </row>
    <row r="40" spans="1:12" ht="39.950000000000003" customHeight="1" x14ac:dyDescent="0.25">
      <c r="A40" s="19" t="s">
        <v>1104</v>
      </c>
      <c r="B40" s="20" t="s">
        <v>1105</v>
      </c>
      <c r="C40" s="21">
        <v>1</v>
      </c>
      <c r="D40" s="22">
        <v>49.99</v>
      </c>
      <c r="E40" s="21" t="s">
        <v>1106</v>
      </c>
      <c r="F40" s="20" t="s">
        <v>394</v>
      </c>
      <c r="G40" s="19"/>
      <c r="H40" s="20" t="s">
        <v>712</v>
      </c>
      <c r="I40" s="20" t="s">
        <v>1092</v>
      </c>
      <c r="J40" s="20" t="s">
        <v>20</v>
      </c>
      <c r="K40" s="20" t="s">
        <v>396</v>
      </c>
      <c r="L40" s="23" t="str">
        <f>HYPERLINK("http://slimages.macys.com/is/image/MCY/8347198 ")</f>
        <v xml:space="preserve">http://slimages.macys.com/is/image/MCY/8347198 </v>
      </c>
    </row>
    <row r="41" spans="1:12" ht="39.950000000000003" customHeight="1" x14ac:dyDescent="0.25">
      <c r="A41" s="19" t="s">
        <v>2372</v>
      </c>
      <c r="B41" s="20" t="s">
        <v>2373</v>
      </c>
      <c r="C41" s="21">
        <v>2</v>
      </c>
      <c r="D41" s="22">
        <v>67.98</v>
      </c>
      <c r="E41" s="21" t="s">
        <v>2374</v>
      </c>
      <c r="F41" s="20" t="s">
        <v>555</v>
      </c>
      <c r="G41" s="19" t="s">
        <v>17</v>
      </c>
      <c r="H41" s="20" t="s">
        <v>700</v>
      </c>
      <c r="I41" s="20" t="s">
        <v>1026</v>
      </c>
      <c r="J41" s="20" t="s">
        <v>20</v>
      </c>
      <c r="K41" s="20" t="s">
        <v>330</v>
      </c>
      <c r="L41" s="23" t="str">
        <f>HYPERLINK("http://slimages.macys.com/is/image/MCY/15782116 ")</f>
        <v xml:space="preserve">http://slimages.macys.com/is/image/MCY/15782116 </v>
      </c>
    </row>
    <row r="42" spans="1:12" ht="39.950000000000003" customHeight="1" x14ac:dyDescent="0.25">
      <c r="A42" s="19" t="s">
        <v>1826</v>
      </c>
      <c r="B42" s="20" t="s">
        <v>1827</v>
      </c>
      <c r="C42" s="21">
        <v>1</v>
      </c>
      <c r="D42" s="22">
        <v>44.99</v>
      </c>
      <c r="E42" s="21" t="s">
        <v>1828</v>
      </c>
      <c r="F42" s="20" t="s">
        <v>483</v>
      </c>
      <c r="G42" s="19"/>
      <c r="H42" s="20" t="s">
        <v>718</v>
      </c>
      <c r="I42" s="20" t="s">
        <v>910</v>
      </c>
      <c r="J42" s="20" t="s">
        <v>20</v>
      </c>
      <c r="K42" s="20" t="s">
        <v>396</v>
      </c>
      <c r="L42" s="23" t="str">
        <f>HYPERLINK("http://slimages.macys.com/is/image/MCY/8993132 ")</f>
        <v xml:space="preserve">http://slimages.macys.com/is/image/MCY/8993132 </v>
      </c>
    </row>
    <row r="43" spans="1:12" ht="39.950000000000003" customHeight="1" x14ac:dyDescent="0.25">
      <c r="A43" s="19" t="s">
        <v>2375</v>
      </c>
      <c r="B43" s="20" t="s">
        <v>2376</v>
      </c>
      <c r="C43" s="21">
        <v>1</v>
      </c>
      <c r="D43" s="22">
        <v>39.99</v>
      </c>
      <c r="E43" s="21" t="s">
        <v>2377</v>
      </c>
      <c r="F43" s="20" t="s">
        <v>759</v>
      </c>
      <c r="G43" s="19"/>
      <c r="H43" s="20" t="s">
        <v>718</v>
      </c>
      <c r="I43" s="20" t="s">
        <v>806</v>
      </c>
      <c r="J43" s="20" t="s">
        <v>20</v>
      </c>
      <c r="K43" s="20"/>
      <c r="L43" s="23" t="str">
        <f>HYPERLINK("http://slimages.macys.com/is/image/MCY/11764484 ")</f>
        <v xml:space="preserve">http://slimages.macys.com/is/image/MCY/11764484 </v>
      </c>
    </row>
    <row r="44" spans="1:12" ht="39.950000000000003" customHeight="1" x14ac:dyDescent="0.25">
      <c r="A44" s="19" t="s">
        <v>2378</v>
      </c>
      <c r="B44" s="20" t="s">
        <v>2379</v>
      </c>
      <c r="C44" s="21">
        <v>1</v>
      </c>
      <c r="D44" s="22">
        <v>33.99</v>
      </c>
      <c r="E44" s="21" t="s">
        <v>2380</v>
      </c>
      <c r="F44" s="20" t="s">
        <v>922</v>
      </c>
      <c r="G44" s="19"/>
      <c r="H44" s="20" t="s">
        <v>718</v>
      </c>
      <c r="I44" s="20" t="s">
        <v>910</v>
      </c>
      <c r="J44" s="20" t="s">
        <v>20</v>
      </c>
      <c r="K44" s="20" t="s">
        <v>2012</v>
      </c>
      <c r="L44" s="23" t="str">
        <f>HYPERLINK("http://slimages.macys.com/is/image/MCY/10981994 ")</f>
        <v xml:space="preserve">http://slimages.macys.com/is/image/MCY/10981994 </v>
      </c>
    </row>
    <row r="45" spans="1:12" ht="39.950000000000003" customHeight="1" x14ac:dyDescent="0.25">
      <c r="A45" s="19" t="s">
        <v>2381</v>
      </c>
      <c r="B45" s="20" t="s">
        <v>2382</v>
      </c>
      <c r="C45" s="21">
        <v>3</v>
      </c>
      <c r="D45" s="22">
        <v>239.97</v>
      </c>
      <c r="E45" s="21" t="s">
        <v>2383</v>
      </c>
      <c r="F45" s="20" t="s">
        <v>89</v>
      </c>
      <c r="G45" s="19" t="s">
        <v>1065</v>
      </c>
      <c r="H45" s="20" t="s">
        <v>724</v>
      </c>
      <c r="I45" s="20" t="s">
        <v>1066</v>
      </c>
      <c r="J45" s="20" t="s">
        <v>1514</v>
      </c>
      <c r="K45" s="20"/>
      <c r="L45" s="23" t="str">
        <f>HYPERLINK("http://slimages.macys.com/is/image/MCY/12779303 ")</f>
        <v xml:space="preserve">http://slimages.macys.com/is/image/MCY/12779303 </v>
      </c>
    </row>
    <row r="46" spans="1:12" ht="39.950000000000003" customHeight="1" x14ac:dyDescent="0.25">
      <c r="A46" s="19" t="s">
        <v>2384</v>
      </c>
      <c r="B46" s="20" t="s">
        <v>2385</v>
      </c>
      <c r="C46" s="21">
        <v>1</v>
      </c>
      <c r="D46" s="22">
        <v>35.99</v>
      </c>
      <c r="E46" s="21" t="s">
        <v>2386</v>
      </c>
      <c r="F46" s="20" t="s">
        <v>744</v>
      </c>
      <c r="G46" s="19"/>
      <c r="H46" s="20" t="s">
        <v>718</v>
      </c>
      <c r="I46" s="20" t="s">
        <v>2304</v>
      </c>
      <c r="J46" s="20" t="s">
        <v>20</v>
      </c>
      <c r="K46" s="20" t="s">
        <v>330</v>
      </c>
      <c r="L46" s="23" t="str">
        <f>HYPERLINK("http://slimages.macys.com/is/image/MCY/15615381 ")</f>
        <v xml:space="preserve">http://slimages.macys.com/is/image/MCY/15615381 </v>
      </c>
    </row>
    <row r="47" spans="1:12" ht="39.950000000000003" customHeight="1" x14ac:dyDescent="0.25">
      <c r="A47" s="19" t="s">
        <v>2387</v>
      </c>
      <c r="B47" s="20" t="s">
        <v>2388</v>
      </c>
      <c r="C47" s="21">
        <v>1</v>
      </c>
      <c r="D47" s="22">
        <v>39.99</v>
      </c>
      <c r="E47" s="21" t="s">
        <v>2389</v>
      </c>
      <c r="F47" s="20" t="s">
        <v>576</v>
      </c>
      <c r="G47" s="19" t="s">
        <v>899</v>
      </c>
      <c r="H47" s="20" t="s">
        <v>745</v>
      </c>
      <c r="I47" s="20" t="s">
        <v>1659</v>
      </c>
      <c r="J47" s="20"/>
      <c r="K47" s="20"/>
      <c r="L47" s="23" t="str">
        <f>HYPERLINK("http://slimages.macys.com/is/image/MCY/17220615 ")</f>
        <v xml:space="preserve">http://slimages.macys.com/is/image/MCY/17220615 </v>
      </c>
    </row>
    <row r="48" spans="1:12" ht="39.950000000000003" customHeight="1" x14ac:dyDescent="0.25">
      <c r="A48" s="19" t="s">
        <v>2390</v>
      </c>
      <c r="B48" s="20" t="s">
        <v>2391</v>
      </c>
      <c r="C48" s="21">
        <v>1</v>
      </c>
      <c r="D48" s="22">
        <v>39.99</v>
      </c>
      <c r="E48" s="21" t="s">
        <v>2392</v>
      </c>
      <c r="F48" s="20" t="s">
        <v>755</v>
      </c>
      <c r="G48" s="19"/>
      <c r="H48" s="20" t="s">
        <v>718</v>
      </c>
      <c r="I48" s="20" t="s">
        <v>806</v>
      </c>
      <c r="J48" s="20"/>
      <c r="K48" s="20"/>
      <c r="L48" s="23" t="str">
        <f>HYPERLINK("http://slimages.macys.com/is/image/MCY/17968749 ")</f>
        <v xml:space="preserve">http://slimages.macys.com/is/image/MCY/17968749 </v>
      </c>
    </row>
    <row r="49" spans="1:12" ht="39.950000000000003" customHeight="1" x14ac:dyDescent="0.25">
      <c r="A49" s="19" t="s">
        <v>2393</v>
      </c>
      <c r="B49" s="20" t="s">
        <v>2394</v>
      </c>
      <c r="C49" s="21">
        <v>1</v>
      </c>
      <c r="D49" s="22">
        <v>59.99</v>
      </c>
      <c r="E49" s="21">
        <v>10004897500</v>
      </c>
      <c r="F49" s="20" t="s">
        <v>1321</v>
      </c>
      <c r="G49" s="19"/>
      <c r="H49" s="20" t="s">
        <v>739</v>
      </c>
      <c r="I49" s="20" t="s">
        <v>740</v>
      </c>
      <c r="J49" s="20" t="s">
        <v>20</v>
      </c>
      <c r="K49" s="20"/>
      <c r="L49" s="23" t="str">
        <f>HYPERLINK("http://slimages.macys.com/is/image/MCY/14823286 ")</f>
        <v xml:space="preserve">http://slimages.macys.com/is/image/MCY/14823286 </v>
      </c>
    </row>
    <row r="50" spans="1:12" ht="39.950000000000003" customHeight="1" x14ac:dyDescent="0.25">
      <c r="A50" s="19" t="s">
        <v>2395</v>
      </c>
      <c r="B50" s="20" t="s">
        <v>2396</v>
      </c>
      <c r="C50" s="21">
        <v>1</v>
      </c>
      <c r="D50" s="22">
        <v>42.99</v>
      </c>
      <c r="E50" s="21" t="s">
        <v>2397</v>
      </c>
      <c r="F50" s="20" t="s">
        <v>555</v>
      </c>
      <c r="G50" s="19"/>
      <c r="H50" s="20" t="s">
        <v>765</v>
      </c>
      <c r="I50" s="20" t="s">
        <v>1576</v>
      </c>
      <c r="J50" s="20" t="s">
        <v>20</v>
      </c>
      <c r="K50" s="20" t="s">
        <v>396</v>
      </c>
      <c r="L50" s="23" t="str">
        <f>HYPERLINK("http://slimages.macys.com/is/image/MCY/15691670 ")</f>
        <v xml:space="preserve">http://slimages.macys.com/is/image/MCY/15691670 </v>
      </c>
    </row>
    <row r="51" spans="1:12" ht="39.950000000000003" customHeight="1" x14ac:dyDescent="0.25">
      <c r="A51" s="19" t="s">
        <v>2398</v>
      </c>
      <c r="B51" s="20" t="s">
        <v>2399</v>
      </c>
      <c r="C51" s="21">
        <v>1</v>
      </c>
      <c r="D51" s="22">
        <v>42.99</v>
      </c>
      <c r="E51" s="21" t="s">
        <v>2400</v>
      </c>
      <c r="F51" s="20" t="s">
        <v>610</v>
      </c>
      <c r="G51" s="19"/>
      <c r="H51" s="20" t="s">
        <v>765</v>
      </c>
      <c r="I51" s="20" t="s">
        <v>1576</v>
      </c>
      <c r="J51" s="20" t="s">
        <v>20</v>
      </c>
      <c r="K51" s="20" t="s">
        <v>396</v>
      </c>
      <c r="L51" s="23" t="str">
        <f>HYPERLINK("http://slimages.macys.com/is/image/MCY/15691670 ")</f>
        <v xml:space="preserve">http://slimages.macys.com/is/image/MCY/15691670 </v>
      </c>
    </row>
    <row r="52" spans="1:12" ht="39.950000000000003" customHeight="1" x14ac:dyDescent="0.25">
      <c r="A52" s="19" t="s">
        <v>2401</v>
      </c>
      <c r="B52" s="20" t="s">
        <v>2402</v>
      </c>
      <c r="C52" s="21">
        <v>1</v>
      </c>
      <c r="D52" s="22">
        <v>38.99</v>
      </c>
      <c r="E52" s="21">
        <v>52501438547</v>
      </c>
      <c r="F52" s="20" t="s">
        <v>89</v>
      </c>
      <c r="G52" s="19" t="s">
        <v>17</v>
      </c>
      <c r="H52" s="20" t="s">
        <v>765</v>
      </c>
      <c r="I52" s="20" t="s">
        <v>2403</v>
      </c>
      <c r="J52" s="20" t="s">
        <v>20</v>
      </c>
      <c r="K52" s="20" t="s">
        <v>341</v>
      </c>
      <c r="L52" s="23" t="str">
        <f>HYPERLINK("http://slimages.macys.com/is/image/MCY/12913034 ")</f>
        <v xml:space="preserve">http://slimages.macys.com/is/image/MCY/12913034 </v>
      </c>
    </row>
    <row r="53" spans="1:12" ht="39.950000000000003" customHeight="1" x14ac:dyDescent="0.25">
      <c r="A53" s="19" t="s">
        <v>2404</v>
      </c>
      <c r="B53" s="20" t="s">
        <v>2405</v>
      </c>
      <c r="C53" s="21">
        <v>1</v>
      </c>
      <c r="D53" s="22">
        <v>38.99</v>
      </c>
      <c r="E53" s="21" t="s">
        <v>2406</v>
      </c>
      <c r="F53" s="20" t="s">
        <v>755</v>
      </c>
      <c r="G53" s="19" t="s">
        <v>1065</v>
      </c>
      <c r="H53" s="20" t="s">
        <v>782</v>
      </c>
      <c r="I53" s="20" t="s">
        <v>2336</v>
      </c>
      <c r="J53" s="20" t="s">
        <v>20</v>
      </c>
      <c r="K53" s="20" t="s">
        <v>2407</v>
      </c>
      <c r="L53" s="23" t="str">
        <f>HYPERLINK("http://slimages.macys.com/is/image/MCY/9950605 ")</f>
        <v xml:space="preserve">http://slimages.macys.com/is/image/MCY/9950605 </v>
      </c>
    </row>
    <row r="54" spans="1:12" ht="39.950000000000003" customHeight="1" x14ac:dyDescent="0.25">
      <c r="A54" s="19" t="s">
        <v>2408</v>
      </c>
      <c r="B54" s="20" t="s">
        <v>2409</v>
      </c>
      <c r="C54" s="21">
        <v>2</v>
      </c>
      <c r="D54" s="22">
        <v>59.98</v>
      </c>
      <c r="E54" s="21" t="s">
        <v>2410</v>
      </c>
      <c r="F54" s="20" t="s">
        <v>89</v>
      </c>
      <c r="G54" s="19"/>
      <c r="H54" s="20" t="s">
        <v>831</v>
      </c>
      <c r="I54" s="20" t="s">
        <v>1669</v>
      </c>
      <c r="J54" s="20" t="s">
        <v>20</v>
      </c>
      <c r="K54" s="20" t="s">
        <v>2411</v>
      </c>
      <c r="L54" s="23" t="str">
        <f>HYPERLINK("http://slimages.macys.com/is/image/MCY/15135647 ")</f>
        <v xml:space="preserve">http://slimages.macys.com/is/image/MCY/15135647 </v>
      </c>
    </row>
    <row r="55" spans="1:12" ht="39.950000000000003" customHeight="1" x14ac:dyDescent="0.25">
      <c r="A55" s="19" t="s">
        <v>2412</v>
      </c>
      <c r="B55" s="20" t="s">
        <v>2413</v>
      </c>
      <c r="C55" s="21">
        <v>1</v>
      </c>
      <c r="D55" s="22">
        <v>29.99</v>
      </c>
      <c r="E55" s="21" t="s">
        <v>2414</v>
      </c>
      <c r="F55" s="20" t="s">
        <v>89</v>
      </c>
      <c r="G55" s="19" t="s">
        <v>954</v>
      </c>
      <c r="H55" s="20" t="s">
        <v>940</v>
      </c>
      <c r="I55" s="20" t="s">
        <v>1705</v>
      </c>
      <c r="J55" s="20" t="s">
        <v>20</v>
      </c>
      <c r="K55" s="20" t="s">
        <v>918</v>
      </c>
      <c r="L55" s="23" t="str">
        <f>HYPERLINK("http://slimages.macys.com/is/image/MCY/10752764 ")</f>
        <v xml:space="preserve">http://slimages.macys.com/is/image/MCY/10752764 </v>
      </c>
    </row>
    <row r="56" spans="1:12" ht="39.950000000000003" customHeight="1" x14ac:dyDescent="0.25">
      <c r="A56" s="19" t="s">
        <v>2415</v>
      </c>
      <c r="B56" s="20" t="s">
        <v>2416</v>
      </c>
      <c r="C56" s="21">
        <v>3</v>
      </c>
      <c r="D56" s="22">
        <v>269.97000000000003</v>
      </c>
      <c r="E56" s="21" t="s">
        <v>2417</v>
      </c>
      <c r="F56" s="20" t="s">
        <v>89</v>
      </c>
      <c r="G56" s="19"/>
      <c r="H56" s="20" t="s">
        <v>707</v>
      </c>
      <c r="I56" s="20" t="s">
        <v>708</v>
      </c>
      <c r="J56" s="20" t="s">
        <v>20</v>
      </c>
      <c r="K56" s="20"/>
      <c r="L56" s="23" t="str">
        <f>HYPERLINK("http://slimages.macys.com/is/image/MCY/12873886 ")</f>
        <v xml:space="preserve">http://slimages.macys.com/is/image/MCY/12873886 </v>
      </c>
    </row>
    <row r="57" spans="1:12" ht="24" x14ac:dyDescent="0.25">
      <c r="A57" s="19" t="s">
        <v>2418</v>
      </c>
      <c r="B57" s="20" t="s">
        <v>2419</v>
      </c>
      <c r="C57" s="21">
        <v>1</v>
      </c>
      <c r="D57" s="22">
        <v>27.99</v>
      </c>
      <c r="E57" s="21">
        <v>944778</v>
      </c>
      <c r="F57" s="20" t="s">
        <v>759</v>
      </c>
      <c r="G57" s="19"/>
      <c r="H57" s="20" t="s">
        <v>865</v>
      </c>
      <c r="I57" s="20" t="s">
        <v>2420</v>
      </c>
      <c r="J57" s="20" t="s">
        <v>20</v>
      </c>
      <c r="K57" s="20" t="s">
        <v>396</v>
      </c>
      <c r="L57" s="23" t="str">
        <f>HYPERLINK("http://slimages.macys.com/is/image/MCY/15254645 ")</f>
        <v xml:space="preserve">http://slimages.macys.com/is/image/MCY/15254645 </v>
      </c>
    </row>
    <row r="58" spans="1:12" ht="36" x14ac:dyDescent="0.25">
      <c r="A58" s="19" t="s">
        <v>2421</v>
      </c>
      <c r="B58" s="20" t="s">
        <v>2422</v>
      </c>
      <c r="C58" s="21">
        <v>2</v>
      </c>
      <c r="D58" s="22">
        <v>51.98</v>
      </c>
      <c r="E58" s="21" t="s">
        <v>2423</v>
      </c>
      <c r="F58" s="20" t="s">
        <v>555</v>
      </c>
      <c r="G58" s="19"/>
      <c r="H58" s="20" t="s">
        <v>718</v>
      </c>
      <c r="I58" s="20" t="s">
        <v>1133</v>
      </c>
      <c r="J58" s="20" t="s">
        <v>20</v>
      </c>
      <c r="K58" s="20" t="s">
        <v>396</v>
      </c>
      <c r="L58" s="23" t="str">
        <f>HYPERLINK("http://slimages.macys.com/is/image/MCY/12846915 ")</f>
        <v xml:space="preserve">http://slimages.macys.com/is/image/MCY/12846915 </v>
      </c>
    </row>
    <row r="59" spans="1:12" ht="36" x14ac:dyDescent="0.25">
      <c r="A59" s="19" t="s">
        <v>2424</v>
      </c>
      <c r="B59" s="20" t="s">
        <v>2425</v>
      </c>
      <c r="C59" s="21">
        <v>1</v>
      </c>
      <c r="D59" s="22">
        <v>29.99</v>
      </c>
      <c r="E59" s="21" t="s">
        <v>2426</v>
      </c>
      <c r="F59" s="20"/>
      <c r="G59" s="19"/>
      <c r="H59" s="20" t="s">
        <v>712</v>
      </c>
      <c r="I59" s="20" t="s">
        <v>1576</v>
      </c>
      <c r="J59" s="20" t="s">
        <v>20</v>
      </c>
      <c r="K59" s="20" t="s">
        <v>396</v>
      </c>
      <c r="L59" s="23" t="str">
        <f>HYPERLINK("http://slimages.macys.com/is/image/MCY/16685711 ")</f>
        <v xml:space="preserve">http://slimages.macys.com/is/image/MCY/16685711 </v>
      </c>
    </row>
    <row r="60" spans="1:12" ht="36" x14ac:dyDescent="0.25">
      <c r="A60" s="19" t="s">
        <v>2427</v>
      </c>
      <c r="B60" s="20" t="s">
        <v>2428</v>
      </c>
      <c r="C60" s="21">
        <v>1</v>
      </c>
      <c r="D60" s="22">
        <v>29.99</v>
      </c>
      <c r="E60" s="21" t="s">
        <v>2429</v>
      </c>
      <c r="F60" s="20" t="s">
        <v>2430</v>
      </c>
      <c r="G60" s="19"/>
      <c r="H60" s="20" t="s">
        <v>1157</v>
      </c>
      <c r="I60" s="20" t="s">
        <v>2431</v>
      </c>
      <c r="J60" s="20" t="s">
        <v>132</v>
      </c>
      <c r="K60" s="20" t="s">
        <v>396</v>
      </c>
      <c r="L60" s="23" t="str">
        <f>HYPERLINK("http://slimages.macys.com/is/image/MCY/14718151 ")</f>
        <v xml:space="preserve">http://slimages.macys.com/is/image/MCY/14718151 </v>
      </c>
    </row>
    <row r="61" spans="1:12" ht="24" x14ac:dyDescent="0.25">
      <c r="A61" s="19" t="s">
        <v>2432</v>
      </c>
      <c r="B61" s="20" t="s">
        <v>2433</v>
      </c>
      <c r="C61" s="21">
        <v>1</v>
      </c>
      <c r="D61" s="22">
        <v>24.99</v>
      </c>
      <c r="E61" s="21">
        <v>53663</v>
      </c>
      <c r="F61" s="20" t="s">
        <v>206</v>
      </c>
      <c r="G61" s="19" t="s">
        <v>2308</v>
      </c>
      <c r="H61" s="20" t="s">
        <v>745</v>
      </c>
      <c r="I61" s="20" t="s">
        <v>1630</v>
      </c>
      <c r="J61" s="20" t="s">
        <v>20</v>
      </c>
      <c r="K61" s="20" t="s">
        <v>396</v>
      </c>
      <c r="L61" s="23" t="str">
        <f>HYPERLINK("http://slimages.macys.com/is/image/MCY/9972690 ")</f>
        <v xml:space="preserve">http://slimages.macys.com/is/image/MCY/9972690 </v>
      </c>
    </row>
    <row r="62" spans="1:12" ht="36" x14ac:dyDescent="0.25">
      <c r="A62" s="19" t="s">
        <v>2434</v>
      </c>
      <c r="B62" s="20" t="s">
        <v>2435</v>
      </c>
      <c r="C62" s="21">
        <v>1</v>
      </c>
      <c r="D62" s="22">
        <v>29.99</v>
      </c>
      <c r="E62" s="21" t="s">
        <v>2436</v>
      </c>
      <c r="F62" s="20" t="s">
        <v>78</v>
      </c>
      <c r="G62" s="19"/>
      <c r="H62" s="20" t="s">
        <v>765</v>
      </c>
      <c r="I62" s="20" t="s">
        <v>1152</v>
      </c>
      <c r="J62" s="20" t="s">
        <v>20</v>
      </c>
      <c r="K62" s="20" t="s">
        <v>396</v>
      </c>
      <c r="L62" s="23" t="str">
        <f>HYPERLINK("http://slimages.macys.com/is/image/MCY/3769061 ")</f>
        <v xml:space="preserve">http://slimages.macys.com/is/image/MCY/3769061 </v>
      </c>
    </row>
    <row r="63" spans="1:12" ht="36" x14ac:dyDescent="0.25">
      <c r="A63" s="19" t="s">
        <v>2437</v>
      </c>
      <c r="B63" s="20" t="s">
        <v>2438</v>
      </c>
      <c r="C63" s="21">
        <v>1</v>
      </c>
      <c r="D63" s="22">
        <v>18.989999999999998</v>
      </c>
      <c r="E63" s="21" t="s">
        <v>2439</v>
      </c>
      <c r="F63" s="20" t="s">
        <v>54</v>
      </c>
      <c r="G63" s="19" t="s">
        <v>17</v>
      </c>
      <c r="H63" s="20" t="s">
        <v>718</v>
      </c>
      <c r="I63" s="20" t="s">
        <v>1974</v>
      </c>
      <c r="J63" s="20" t="s">
        <v>20</v>
      </c>
      <c r="K63" s="20" t="s">
        <v>1975</v>
      </c>
      <c r="L63" s="23" t="str">
        <f>HYPERLINK("http://slimages.macys.com/is/image/MCY/13057508 ")</f>
        <v xml:space="preserve">http://slimages.macys.com/is/image/MCY/13057508 </v>
      </c>
    </row>
    <row r="64" spans="1:12" ht="36" x14ac:dyDescent="0.25">
      <c r="A64" s="19" t="s">
        <v>2440</v>
      </c>
      <c r="B64" s="20" t="s">
        <v>2441</v>
      </c>
      <c r="C64" s="21">
        <v>2</v>
      </c>
      <c r="D64" s="22">
        <v>37.979999999999997</v>
      </c>
      <c r="E64" s="21">
        <v>53242</v>
      </c>
      <c r="F64" s="20" t="s">
        <v>685</v>
      </c>
      <c r="G64" s="19"/>
      <c r="H64" s="20" t="s">
        <v>745</v>
      </c>
      <c r="I64" s="20" t="s">
        <v>1630</v>
      </c>
      <c r="J64" s="20" t="s">
        <v>20</v>
      </c>
      <c r="K64" s="20" t="s">
        <v>396</v>
      </c>
      <c r="L64" s="23" t="str">
        <f>HYPERLINK("http://slimages.macys.com/is/image/MCY/12936375 ")</f>
        <v xml:space="preserve">http://slimages.macys.com/is/image/MCY/12936375 </v>
      </c>
    </row>
    <row r="65" spans="1:12" ht="39.950000000000003" customHeight="1" x14ac:dyDescent="0.25">
      <c r="A65" s="19" t="s">
        <v>2442</v>
      </c>
      <c r="B65" s="20" t="s">
        <v>2443</v>
      </c>
      <c r="C65" s="21">
        <v>1</v>
      </c>
      <c r="D65" s="22">
        <v>22.99</v>
      </c>
      <c r="E65" s="21" t="s">
        <v>2444</v>
      </c>
      <c r="F65" s="20" t="s">
        <v>394</v>
      </c>
      <c r="G65" s="19" t="s">
        <v>2097</v>
      </c>
      <c r="H65" s="20" t="s">
        <v>745</v>
      </c>
      <c r="I65" s="20" t="s">
        <v>760</v>
      </c>
      <c r="J65" s="20" t="s">
        <v>20</v>
      </c>
      <c r="K65" s="20" t="s">
        <v>936</v>
      </c>
      <c r="L65" s="23" t="str">
        <f>HYPERLINK("http://slimages.macys.com/is/image/MCY/10415218 ")</f>
        <v xml:space="preserve">http://slimages.macys.com/is/image/MCY/10415218 </v>
      </c>
    </row>
    <row r="66" spans="1:12" ht="24" x14ac:dyDescent="0.25">
      <c r="A66" s="19" t="s">
        <v>2445</v>
      </c>
      <c r="B66" s="20" t="s">
        <v>2446</v>
      </c>
      <c r="C66" s="21">
        <v>1</v>
      </c>
      <c r="D66" s="22">
        <v>17.989999999999998</v>
      </c>
      <c r="E66" s="21" t="s">
        <v>2447</v>
      </c>
      <c r="F66" s="20" t="s">
        <v>89</v>
      </c>
      <c r="G66" s="19"/>
      <c r="H66" s="20" t="s">
        <v>782</v>
      </c>
      <c r="I66" s="20" t="s">
        <v>949</v>
      </c>
      <c r="J66" s="20" t="s">
        <v>20</v>
      </c>
      <c r="K66" s="20" t="s">
        <v>2448</v>
      </c>
      <c r="L66" s="23" t="str">
        <f>HYPERLINK("http://slimages.macys.com/is/image/MCY/14359155 ")</f>
        <v xml:space="preserve">http://slimages.macys.com/is/image/MCY/14359155 </v>
      </c>
    </row>
    <row r="67" spans="1:12" ht="48" x14ac:dyDescent="0.25">
      <c r="A67" s="19" t="s">
        <v>2449</v>
      </c>
      <c r="B67" s="20" t="s">
        <v>2450</v>
      </c>
      <c r="C67" s="21">
        <v>1</v>
      </c>
      <c r="D67" s="22">
        <v>9.99</v>
      </c>
      <c r="E67" s="21" t="s">
        <v>2451</v>
      </c>
      <c r="F67" s="20" t="s">
        <v>16</v>
      </c>
      <c r="G67" s="19"/>
      <c r="H67" s="20" t="s">
        <v>724</v>
      </c>
      <c r="I67" s="20" t="s">
        <v>997</v>
      </c>
      <c r="J67" s="20" t="s">
        <v>132</v>
      </c>
      <c r="K67" s="20" t="s">
        <v>2452</v>
      </c>
      <c r="L67" s="23" t="str">
        <f>HYPERLINK("http://slimages.macys.com/is/image/MCY/2831820 ")</f>
        <v xml:space="preserve">http://slimages.macys.com/is/image/MCY/2831820 </v>
      </c>
    </row>
    <row r="68" spans="1:12" ht="36" x14ac:dyDescent="0.25">
      <c r="A68" s="19" t="s">
        <v>2453</v>
      </c>
      <c r="B68" s="20" t="s">
        <v>2454</v>
      </c>
      <c r="C68" s="21">
        <v>1</v>
      </c>
      <c r="D68" s="22">
        <v>1.99</v>
      </c>
      <c r="E68" s="21" t="s">
        <v>2455</v>
      </c>
      <c r="F68" s="20" t="s">
        <v>436</v>
      </c>
      <c r="G68" s="19" t="s">
        <v>1179</v>
      </c>
      <c r="H68" s="20" t="s">
        <v>940</v>
      </c>
      <c r="I68" s="20" t="s">
        <v>1092</v>
      </c>
      <c r="J68" s="20" t="s">
        <v>20</v>
      </c>
      <c r="K68" s="20"/>
      <c r="L68" s="23" t="str">
        <f>HYPERLINK("http://slimages.macys.com/is/image/MCY/13909776 ")</f>
        <v xml:space="preserve">http://slimages.macys.com/is/image/MCY/13909776 </v>
      </c>
    </row>
    <row r="69" spans="1:12" ht="36" x14ac:dyDescent="0.25">
      <c r="A69" s="19" t="s">
        <v>2456</v>
      </c>
      <c r="B69" s="20" t="s">
        <v>2457</v>
      </c>
      <c r="C69" s="21">
        <v>2</v>
      </c>
      <c r="D69" s="22">
        <v>143.97999999999999</v>
      </c>
      <c r="E69" s="21">
        <v>644172</v>
      </c>
      <c r="F69" s="20" t="s">
        <v>394</v>
      </c>
      <c r="G69" s="19"/>
      <c r="H69" s="20" t="s">
        <v>745</v>
      </c>
      <c r="I69" s="20" t="s">
        <v>2458</v>
      </c>
      <c r="J69" s="20"/>
      <c r="K69" s="20"/>
      <c r="L69" s="23"/>
    </row>
    <row r="70" spans="1:12" ht="24" x14ac:dyDescent="0.25">
      <c r="A70" s="19" t="s">
        <v>1019</v>
      </c>
      <c r="B70" s="20" t="s">
        <v>694</v>
      </c>
      <c r="C70" s="21">
        <v>23</v>
      </c>
      <c r="D70" s="22">
        <v>920</v>
      </c>
      <c r="E70" s="21"/>
      <c r="F70" s="20" t="s">
        <v>16</v>
      </c>
      <c r="G70" s="19" t="s">
        <v>17</v>
      </c>
      <c r="H70" s="20" t="s">
        <v>695</v>
      </c>
      <c r="I70" s="20" t="s">
        <v>696</v>
      </c>
      <c r="J70" s="20"/>
      <c r="K70" s="20"/>
      <c r="L70" s="23"/>
    </row>
    <row r="71" spans="1:12" ht="24" x14ac:dyDescent="0.25">
      <c r="A71" s="19" t="s">
        <v>2459</v>
      </c>
      <c r="B71" s="20" t="s">
        <v>2460</v>
      </c>
      <c r="C71" s="21">
        <v>1</v>
      </c>
      <c r="D71" s="22">
        <v>37.99</v>
      </c>
      <c r="E71" s="21">
        <v>58378</v>
      </c>
      <c r="F71" s="20" t="s">
        <v>206</v>
      </c>
      <c r="G71" s="19"/>
      <c r="H71" s="20" t="s">
        <v>745</v>
      </c>
      <c r="I71" s="20" t="s">
        <v>1630</v>
      </c>
      <c r="J71" s="20"/>
      <c r="K71" s="20"/>
      <c r="L71" s="23"/>
    </row>
    <row r="72" spans="1:12" ht="24" x14ac:dyDescent="0.25">
      <c r="A72" s="19" t="s">
        <v>2461</v>
      </c>
      <c r="B72" s="20" t="s">
        <v>2462</v>
      </c>
      <c r="C72" s="21">
        <v>1</v>
      </c>
      <c r="D72" s="22">
        <v>39.99</v>
      </c>
      <c r="E72" s="21" t="s">
        <v>2463</v>
      </c>
      <c r="F72" s="20" t="s">
        <v>89</v>
      </c>
      <c r="G72" s="19" t="s">
        <v>2464</v>
      </c>
      <c r="H72" s="20" t="s">
        <v>1644</v>
      </c>
      <c r="I72" s="20" t="s">
        <v>1990</v>
      </c>
      <c r="J72" s="20"/>
      <c r="K72" s="20"/>
      <c r="L72" s="23"/>
    </row>
    <row r="73" spans="1:12" ht="24" x14ac:dyDescent="0.25">
      <c r="A73" s="19" t="s">
        <v>2465</v>
      </c>
      <c r="B73" s="20" t="s">
        <v>2466</v>
      </c>
      <c r="C73" s="21">
        <v>1</v>
      </c>
      <c r="D73" s="22">
        <v>29.99</v>
      </c>
      <c r="E73" s="21" t="s">
        <v>2467</v>
      </c>
      <c r="F73" s="20" t="s">
        <v>1124</v>
      </c>
      <c r="G73" s="19" t="s">
        <v>899</v>
      </c>
      <c r="H73" s="20" t="s">
        <v>765</v>
      </c>
      <c r="I73" s="20" t="s">
        <v>2468</v>
      </c>
      <c r="J73" s="20"/>
      <c r="K73" s="20"/>
      <c r="L73" s="23"/>
    </row>
    <row r="74" spans="1:12" ht="36" x14ac:dyDescent="0.25">
      <c r="A74" s="19" t="s">
        <v>2469</v>
      </c>
      <c r="B74" s="20" t="s">
        <v>2470</v>
      </c>
      <c r="C74" s="21">
        <v>1</v>
      </c>
      <c r="D74" s="22">
        <v>24.99</v>
      </c>
      <c r="E74" s="21" t="s">
        <v>2471</v>
      </c>
      <c r="F74" s="20" t="s">
        <v>604</v>
      </c>
      <c r="G74" s="19"/>
      <c r="H74" s="20" t="s">
        <v>782</v>
      </c>
      <c r="I74" s="20" t="s">
        <v>2472</v>
      </c>
      <c r="J74" s="20"/>
      <c r="K74" s="20"/>
      <c r="L74" s="23"/>
    </row>
    <row r="75" spans="1:12" ht="36" x14ac:dyDescent="0.25">
      <c r="A75" s="19" t="s">
        <v>2473</v>
      </c>
      <c r="B75" s="20" t="s">
        <v>2474</v>
      </c>
      <c r="C75" s="21">
        <v>1</v>
      </c>
      <c r="D75" s="22">
        <v>12.99</v>
      </c>
      <c r="E75" s="21">
        <v>10011741600</v>
      </c>
      <c r="F75" s="20" t="s">
        <v>89</v>
      </c>
      <c r="G75" s="19" t="s">
        <v>1012</v>
      </c>
      <c r="H75" s="20" t="s">
        <v>916</v>
      </c>
      <c r="I75" s="20" t="s">
        <v>2475</v>
      </c>
      <c r="J75" s="20"/>
      <c r="K75" s="20"/>
      <c r="L75" s="23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6"/>
  <sheetViews>
    <sheetView workbookViewId="0">
      <selection activeCell="G8" sqref="G8"/>
    </sheetView>
  </sheetViews>
  <sheetFormatPr defaultRowHeight="15" x14ac:dyDescent="0.25"/>
  <cols>
    <col min="1" max="1" width="13.140625" style="24" bestFit="1" customWidth="1"/>
    <col min="2" max="2" width="23" style="24" bestFit="1" customWidth="1"/>
    <col min="3" max="3" width="12.42578125" style="24" bestFit="1" customWidth="1"/>
    <col min="4" max="4" width="8.7109375" style="24" bestFit="1" customWidth="1"/>
    <col min="5" max="5" width="17" style="24" bestFit="1" customWidth="1"/>
    <col min="6" max="6" width="11.28515625" style="24" bestFit="1" customWidth="1"/>
    <col min="7" max="7" width="10.85546875" style="24" customWidth="1"/>
    <col min="8" max="8" width="12.140625" style="24" customWidth="1"/>
    <col min="9" max="9" width="35.28515625" style="24" bestFit="1" customWidth="1"/>
    <col min="10" max="10" width="19.85546875" style="24" bestFit="1" customWidth="1"/>
    <col min="11" max="11" width="47.5703125" style="24" customWidth="1"/>
    <col min="12" max="12" width="24.28515625" style="24" customWidth="1"/>
    <col min="13" max="16384" width="9.140625" style="24"/>
  </cols>
  <sheetData>
    <row r="1" spans="1:12" ht="36" x14ac:dyDescent="0.25">
      <c r="A1" s="18" t="s">
        <v>2</v>
      </c>
      <c r="B1" s="18" t="s">
        <v>3</v>
      </c>
      <c r="C1" s="18" t="s">
        <v>4</v>
      </c>
      <c r="D1" s="18" t="s">
        <v>5</v>
      </c>
      <c r="E1" s="18" t="s">
        <v>6</v>
      </c>
      <c r="F1" s="18" t="s">
        <v>7</v>
      </c>
      <c r="G1" s="18" t="s">
        <v>8</v>
      </c>
      <c r="H1" s="18" t="s">
        <v>9</v>
      </c>
      <c r="I1" s="18" t="s">
        <v>10</v>
      </c>
      <c r="J1" s="18" t="s">
        <v>11</v>
      </c>
      <c r="K1" s="18" t="s">
        <v>12</v>
      </c>
      <c r="L1" s="18" t="s">
        <v>13</v>
      </c>
    </row>
    <row r="2" spans="1:12" ht="36" x14ac:dyDescent="0.25">
      <c r="A2" s="19" t="s">
        <v>2476</v>
      </c>
      <c r="B2" s="20" t="s">
        <v>2477</v>
      </c>
      <c r="C2" s="21">
        <v>1</v>
      </c>
      <c r="D2" s="22">
        <v>329.99</v>
      </c>
      <c r="E2" s="21" t="s">
        <v>2478</v>
      </c>
      <c r="F2" s="20" t="s">
        <v>628</v>
      </c>
      <c r="G2" s="19" t="s">
        <v>1486</v>
      </c>
      <c r="H2" s="20" t="s">
        <v>707</v>
      </c>
      <c r="I2" s="20" t="s">
        <v>874</v>
      </c>
      <c r="J2" s="20" t="s">
        <v>20</v>
      </c>
      <c r="K2" s="20" t="s">
        <v>2479</v>
      </c>
      <c r="L2" s="23" t="str">
        <f>HYPERLINK("http://slimages.macys.com/is/image/MCY/15767044 ")</f>
        <v xml:space="preserve">http://slimages.macys.com/is/image/MCY/15767044 </v>
      </c>
    </row>
    <row r="3" spans="1:12" ht="24" x14ac:dyDescent="0.25">
      <c r="A3" s="19" t="s">
        <v>2480</v>
      </c>
      <c r="B3" s="20" t="s">
        <v>2481</v>
      </c>
      <c r="C3" s="21">
        <v>1</v>
      </c>
      <c r="D3" s="22">
        <v>349.99</v>
      </c>
      <c r="E3" s="21" t="s">
        <v>2482</v>
      </c>
      <c r="F3" s="20" t="s">
        <v>89</v>
      </c>
      <c r="G3" s="19" t="s">
        <v>1486</v>
      </c>
      <c r="H3" s="20" t="s">
        <v>707</v>
      </c>
      <c r="I3" s="20" t="s">
        <v>708</v>
      </c>
      <c r="J3" s="20" t="s">
        <v>20</v>
      </c>
      <c r="K3" s="20"/>
      <c r="L3" s="23" t="str">
        <f>HYPERLINK("http://slimages.macys.com/is/image/MCY/12873897 ")</f>
        <v xml:space="preserve">http://slimages.macys.com/is/image/MCY/12873897 </v>
      </c>
    </row>
    <row r="4" spans="1:12" ht="36" x14ac:dyDescent="0.25">
      <c r="A4" s="19" t="s">
        <v>2483</v>
      </c>
      <c r="B4" s="20" t="s">
        <v>2484</v>
      </c>
      <c r="C4" s="21">
        <v>1</v>
      </c>
      <c r="D4" s="22">
        <v>299.99</v>
      </c>
      <c r="E4" s="21" t="s">
        <v>2485</v>
      </c>
      <c r="F4" s="20" t="s">
        <v>89</v>
      </c>
      <c r="G4" s="19"/>
      <c r="H4" s="20" t="s">
        <v>707</v>
      </c>
      <c r="I4" s="20" t="s">
        <v>1110</v>
      </c>
      <c r="J4" s="20" t="s">
        <v>20</v>
      </c>
      <c r="K4" s="20"/>
      <c r="L4" s="23" t="str">
        <f>HYPERLINK("http://slimages.macys.com/is/image/MCY/13043069 ")</f>
        <v xml:space="preserve">http://slimages.macys.com/is/image/MCY/13043069 </v>
      </c>
    </row>
    <row r="5" spans="1:12" ht="84" x14ac:dyDescent="0.25">
      <c r="A5" s="19" t="s">
        <v>2486</v>
      </c>
      <c r="B5" s="20" t="s">
        <v>2487</v>
      </c>
      <c r="C5" s="21">
        <v>1</v>
      </c>
      <c r="D5" s="22">
        <v>244.99</v>
      </c>
      <c r="E5" s="21" t="s">
        <v>2488</v>
      </c>
      <c r="F5" s="20" t="s">
        <v>1124</v>
      </c>
      <c r="G5" s="19"/>
      <c r="H5" s="20" t="s">
        <v>712</v>
      </c>
      <c r="I5" s="20" t="s">
        <v>746</v>
      </c>
      <c r="J5" s="20" t="s">
        <v>20</v>
      </c>
      <c r="K5" s="20" t="s">
        <v>2489</v>
      </c>
      <c r="L5" s="23" t="str">
        <f>HYPERLINK("http://slimages.macys.com/is/image/MCY/9536261 ")</f>
        <v xml:space="preserve">http://slimages.macys.com/is/image/MCY/9536261 </v>
      </c>
    </row>
    <row r="6" spans="1:12" ht="48" x14ac:dyDescent="0.25">
      <c r="A6" s="19" t="s">
        <v>2490</v>
      </c>
      <c r="B6" s="20" t="s">
        <v>2491</v>
      </c>
      <c r="C6" s="21">
        <v>3</v>
      </c>
      <c r="D6" s="22">
        <v>659.97</v>
      </c>
      <c r="E6" s="21" t="s">
        <v>2492</v>
      </c>
      <c r="F6" s="20" t="s">
        <v>394</v>
      </c>
      <c r="G6" s="19" t="s">
        <v>1065</v>
      </c>
      <c r="H6" s="20" t="s">
        <v>782</v>
      </c>
      <c r="I6" s="20" t="s">
        <v>2493</v>
      </c>
      <c r="J6" s="20" t="s">
        <v>1067</v>
      </c>
      <c r="K6" s="20" t="s">
        <v>2494</v>
      </c>
      <c r="L6" s="23" t="str">
        <f>HYPERLINK("http://slimages.macys.com/is/image/MCY/10036050 ")</f>
        <v xml:space="preserve">http://slimages.macys.com/is/image/MCY/10036050 </v>
      </c>
    </row>
    <row r="7" spans="1:12" ht="36" x14ac:dyDescent="0.25">
      <c r="A7" s="19" t="s">
        <v>2495</v>
      </c>
      <c r="B7" s="20" t="s">
        <v>2496</v>
      </c>
      <c r="C7" s="21">
        <v>1</v>
      </c>
      <c r="D7" s="22">
        <v>219.99</v>
      </c>
      <c r="E7" s="21" t="s">
        <v>2497</v>
      </c>
      <c r="F7" s="20" t="s">
        <v>89</v>
      </c>
      <c r="G7" s="19" t="s">
        <v>1486</v>
      </c>
      <c r="H7" s="20" t="s">
        <v>1854</v>
      </c>
      <c r="I7" s="20" t="s">
        <v>725</v>
      </c>
      <c r="J7" s="20" t="s">
        <v>20</v>
      </c>
      <c r="K7" s="20"/>
      <c r="L7" s="23" t="str">
        <f>HYPERLINK("http://slimages.macys.com/is/image/MCY/2355760 ")</f>
        <v xml:space="preserve">http://slimages.macys.com/is/image/MCY/2355760 </v>
      </c>
    </row>
    <row r="8" spans="1:12" ht="36" x14ac:dyDescent="0.25">
      <c r="A8" s="19" t="s">
        <v>2498</v>
      </c>
      <c r="B8" s="20" t="s">
        <v>2499</v>
      </c>
      <c r="C8" s="21">
        <v>2</v>
      </c>
      <c r="D8" s="22">
        <v>303.98</v>
      </c>
      <c r="E8" s="21" t="s">
        <v>2500</v>
      </c>
      <c r="F8" s="20" t="s">
        <v>600</v>
      </c>
      <c r="G8" s="19" t="s">
        <v>717</v>
      </c>
      <c r="H8" s="20" t="s">
        <v>712</v>
      </c>
      <c r="I8" s="20" t="s">
        <v>900</v>
      </c>
      <c r="J8" s="20" t="s">
        <v>20</v>
      </c>
      <c r="K8" s="20" t="s">
        <v>396</v>
      </c>
      <c r="L8" s="23" t="str">
        <f>HYPERLINK("http://slimages.macys.com/is/image/MCY/9999253 ")</f>
        <v xml:space="preserve">http://slimages.macys.com/is/image/MCY/9999253 </v>
      </c>
    </row>
    <row r="9" spans="1:12" ht="36" x14ac:dyDescent="0.25">
      <c r="A9" s="19" t="s">
        <v>2501</v>
      </c>
      <c r="B9" s="20" t="s">
        <v>2502</v>
      </c>
      <c r="C9" s="21">
        <v>1</v>
      </c>
      <c r="D9" s="22">
        <v>179.99</v>
      </c>
      <c r="E9" s="21" t="s">
        <v>2503</v>
      </c>
      <c r="F9" s="20" t="s">
        <v>555</v>
      </c>
      <c r="G9" s="19"/>
      <c r="H9" s="20" t="s">
        <v>739</v>
      </c>
      <c r="I9" s="20" t="s">
        <v>1561</v>
      </c>
      <c r="J9" s="20" t="s">
        <v>20</v>
      </c>
      <c r="K9" s="20" t="s">
        <v>2504</v>
      </c>
      <c r="L9" s="23" t="str">
        <f>HYPERLINK("http://slimages.macys.com/is/image/MCY/10264817 ")</f>
        <v xml:space="preserve">http://slimages.macys.com/is/image/MCY/10264817 </v>
      </c>
    </row>
    <row r="10" spans="1:12" ht="36" x14ac:dyDescent="0.25">
      <c r="A10" s="19" t="s">
        <v>2505</v>
      </c>
      <c r="B10" s="20" t="s">
        <v>2506</v>
      </c>
      <c r="C10" s="21">
        <v>1</v>
      </c>
      <c r="D10" s="22">
        <v>129.99</v>
      </c>
      <c r="E10" s="21">
        <v>61132</v>
      </c>
      <c r="F10" s="20" t="s">
        <v>89</v>
      </c>
      <c r="G10" s="19"/>
      <c r="H10" s="20" t="s">
        <v>782</v>
      </c>
      <c r="I10" s="20" t="s">
        <v>835</v>
      </c>
      <c r="J10" s="20" t="s">
        <v>20</v>
      </c>
      <c r="K10" s="20" t="s">
        <v>396</v>
      </c>
      <c r="L10" s="23" t="str">
        <f>HYPERLINK("http://slimages.macys.com/is/image/MCY/15866409 ")</f>
        <v xml:space="preserve">http://slimages.macys.com/is/image/MCY/15866409 </v>
      </c>
    </row>
    <row r="11" spans="1:12" ht="36" x14ac:dyDescent="0.25">
      <c r="A11" s="19" t="s">
        <v>2507</v>
      </c>
      <c r="B11" s="20" t="s">
        <v>2508</v>
      </c>
      <c r="C11" s="21">
        <v>2</v>
      </c>
      <c r="D11" s="22">
        <v>239.98</v>
      </c>
      <c r="E11" s="21" t="s">
        <v>2509</v>
      </c>
      <c r="F11" s="20" t="s">
        <v>1008</v>
      </c>
      <c r="G11" s="19"/>
      <c r="H11" s="20" t="s">
        <v>772</v>
      </c>
      <c r="I11" s="20" t="s">
        <v>1877</v>
      </c>
      <c r="J11" s="20" t="s">
        <v>20</v>
      </c>
      <c r="K11" s="20"/>
      <c r="L11" s="23" t="str">
        <f>HYPERLINK("http://slimages.macys.com/is/image/MCY/8813910 ")</f>
        <v xml:space="preserve">http://slimages.macys.com/is/image/MCY/8813910 </v>
      </c>
    </row>
    <row r="12" spans="1:12" ht="36" x14ac:dyDescent="0.25">
      <c r="A12" s="19" t="s">
        <v>2510</v>
      </c>
      <c r="B12" s="20" t="s">
        <v>2511</v>
      </c>
      <c r="C12" s="21">
        <v>1</v>
      </c>
      <c r="D12" s="22">
        <v>169.99</v>
      </c>
      <c r="E12" s="21" t="s">
        <v>2512</v>
      </c>
      <c r="F12" s="20" t="s">
        <v>89</v>
      </c>
      <c r="G12" s="19"/>
      <c r="H12" s="20" t="s">
        <v>707</v>
      </c>
      <c r="I12" s="20" t="s">
        <v>2513</v>
      </c>
      <c r="J12" s="20" t="s">
        <v>20</v>
      </c>
      <c r="K12" s="20" t="s">
        <v>1652</v>
      </c>
      <c r="L12" s="23" t="str">
        <f>HYPERLINK("http://slimages.macys.com/is/image/MCY/3573212 ")</f>
        <v xml:space="preserve">http://slimages.macys.com/is/image/MCY/3573212 </v>
      </c>
    </row>
    <row r="13" spans="1:12" ht="36" x14ac:dyDescent="0.25">
      <c r="A13" s="19" t="s">
        <v>2514</v>
      </c>
      <c r="B13" s="20" t="s">
        <v>2515</v>
      </c>
      <c r="C13" s="21">
        <v>1</v>
      </c>
      <c r="D13" s="22">
        <v>99.99</v>
      </c>
      <c r="E13" s="21" t="s">
        <v>2516</v>
      </c>
      <c r="F13" s="20" t="s">
        <v>206</v>
      </c>
      <c r="G13" s="19"/>
      <c r="H13" s="20" t="s">
        <v>772</v>
      </c>
      <c r="I13" s="20" t="s">
        <v>773</v>
      </c>
      <c r="J13" s="20" t="s">
        <v>20</v>
      </c>
      <c r="K13" s="20"/>
      <c r="L13" s="23" t="str">
        <f>HYPERLINK("http://slimages.macys.com/is/image/MCY/11534834 ")</f>
        <v xml:space="preserve">http://slimages.macys.com/is/image/MCY/11534834 </v>
      </c>
    </row>
    <row r="14" spans="1:12" ht="36" x14ac:dyDescent="0.25">
      <c r="A14" s="19" t="s">
        <v>2517</v>
      </c>
      <c r="B14" s="20" t="s">
        <v>2518</v>
      </c>
      <c r="C14" s="21">
        <v>1</v>
      </c>
      <c r="D14" s="22">
        <v>89.99</v>
      </c>
      <c r="E14" s="21" t="s">
        <v>2519</v>
      </c>
      <c r="F14" s="20" t="s">
        <v>1121</v>
      </c>
      <c r="G14" s="19"/>
      <c r="H14" s="20" t="s">
        <v>1157</v>
      </c>
      <c r="I14" s="20" t="s">
        <v>1158</v>
      </c>
      <c r="J14" s="20" t="s">
        <v>20</v>
      </c>
      <c r="K14" s="20"/>
      <c r="L14" s="23" t="str">
        <f>HYPERLINK("http://slimages.macys.com/is/image/MCY/8670787 ")</f>
        <v xml:space="preserve">http://slimages.macys.com/is/image/MCY/8670787 </v>
      </c>
    </row>
    <row r="15" spans="1:12" ht="36" x14ac:dyDescent="0.25">
      <c r="A15" s="19" t="s">
        <v>2520</v>
      </c>
      <c r="B15" s="20" t="s">
        <v>2521</v>
      </c>
      <c r="C15" s="21">
        <v>1</v>
      </c>
      <c r="D15" s="22">
        <v>99.99</v>
      </c>
      <c r="E15" s="21" t="s">
        <v>2522</v>
      </c>
      <c r="F15" s="20" t="s">
        <v>674</v>
      </c>
      <c r="G15" s="19"/>
      <c r="H15" s="20" t="s">
        <v>772</v>
      </c>
      <c r="I15" s="20" t="s">
        <v>2523</v>
      </c>
      <c r="J15" s="20" t="s">
        <v>20</v>
      </c>
      <c r="K15" s="20"/>
      <c r="L15" s="23" t="str">
        <f>HYPERLINK("http://slimages.macys.com/is/image/MCY/11518009 ")</f>
        <v xml:space="preserve">http://slimages.macys.com/is/image/MCY/11518009 </v>
      </c>
    </row>
    <row r="16" spans="1:12" ht="36" x14ac:dyDescent="0.25">
      <c r="A16" s="19" t="s">
        <v>2524</v>
      </c>
      <c r="B16" s="20" t="s">
        <v>2525</v>
      </c>
      <c r="C16" s="21">
        <v>1</v>
      </c>
      <c r="D16" s="22">
        <v>69.989999999999995</v>
      </c>
      <c r="E16" s="21" t="s">
        <v>2526</v>
      </c>
      <c r="F16" s="20" t="s">
        <v>922</v>
      </c>
      <c r="G16" s="19"/>
      <c r="H16" s="20" t="s">
        <v>772</v>
      </c>
      <c r="I16" s="20" t="s">
        <v>773</v>
      </c>
      <c r="J16" s="20" t="s">
        <v>20</v>
      </c>
      <c r="K16" s="20" t="s">
        <v>1052</v>
      </c>
      <c r="L16" s="23" t="str">
        <f>HYPERLINK("http://slimages.macys.com/is/image/MCY/8433239 ")</f>
        <v xml:space="preserve">http://slimages.macys.com/is/image/MCY/8433239 </v>
      </c>
    </row>
    <row r="17" spans="1:12" ht="36" x14ac:dyDescent="0.25">
      <c r="A17" s="19" t="s">
        <v>2527</v>
      </c>
      <c r="B17" s="20" t="s">
        <v>2528</v>
      </c>
      <c r="C17" s="21">
        <v>1</v>
      </c>
      <c r="D17" s="22">
        <v>69.989999999999995</v>
      </c>
      <c r="E17" s="21" t="s">
        <v>2529</v>
      </c>
      <c r="F17" s="20" t="s">
        <v>206</v>
      </c>
      <c r="G17" s="19"/>
      <c r="H17" s="20" t="s">
        <v>772</v>
      </c>
      <c r="I17" s="20" t="s">
        <v>773</v>
      </c>
      <c r="J17" s="20" t="s">
        <v>20</v>
      </c>
      <c r="K17" s="20" t="s">
        <v>1052</v>
      </c>
      <c r="L17" s="23" t="str">
        <f>HYPERLINK("http://slimages.macys.com/is/image/MCY/8433239 ")</f>
        <v xml:space="preserve">http://slimages.macys.com/is/image/MCY/8433239 </v>
      </c>
    </row>
    <row r="18" spans="1:12" ht="36" x14ac:dyDescent="0.25">
      <c r="A18" s="19" t="s">
        <v>2530</v>
      </c>
      <c r="B18" s="20" t="s">
        <v>2531</v>
      </c>
      <c r="C18" s="21">
        <v>1</v>
      </c>
      <c r="D18" s="22">
        <v>89.99</v>
      </c>
      <c r="E18" s="21">
        <v>10004467800</v>
      </c>
      <c r="F18" s="20" t="s">
        <v>691</v>
      </c>
      <c r="G18" s="19"/>
      <c r="H18" s="20" t="s">
        <v>707</v>
      </c>
      <c r="I18" s="20" t="s">
        <v>874</v>
      </c>
      <c r="J18" s="20" t="s">
        <v>20</v>
      </c>
      <c r="K18" s="20"/>
      <c r="L18" s="23" t="str">
        <f>HYPERLINK("http://slimages.macys.com/is/image/MCY/10467369 ")</f>
        <v xml:space="preserve">http://slimages.macys.com/is/image/MCY/10467369 </v>
      </c>
    </row>
    <row r="19" spans="1:12" ht="36" x14ac:dyDescent="0.25">
      <c r="A19" s="19" t="s">
        <v>2532</v>
      </c>
      <c r="B19" s="20" t="s">
        <v>2533</v>
      </c>
      <c r="C19" s="21">
        <v>1</v>
      </c>
      <c r="D19" s="22">
        <v>55.99</v>
      </c>
      <c r="E19" s="21" t="s">
        <v>2534</v>
      </c>
      <c r="F19" s="20" t="s">
        <v>922</v>
      </c>
      <c r="G19" s="19"/>
      <c r="H19" s="20" t="s">
        <v>718</v>
      </c>
      <c r="I19" s="20" t="s">
        <v>856</v>
      </c>
      <c r="J19" s="20" t="s">
        <v>20</v>
      </c>
      <c r="K19" s="20" t="s">
        <v>861</v>
      </c>
      <c r="L19" s="23" t="str">
        <f>HYPERLINK("http://slimages.macys.com/is/image/MCY/10682478 ")</f>
        <v xml:space="preserve">http://slimages.macys.com/is/image/MCY/10682478 </v>
      </c>
    </row>
    <row r="20" spans="1:12" ht="24" x14ac:dyDescent="0.25">
      <c r="A20" s="19" t="s">
        <v>2535</v>
      </c>
      <c r="B20" s="20" t="s">
        <v>2536</v>
      </c>
      <c r="C20" s="21">
        <v>2</v>
      </c>
      <c r="D20" s="22">
        <v>157.97999999999999</v>
      </c>
      <c r="E20" s="21" t="s">
        <v>2537</v>
      </c>
      <c r="F20" s="20" t="s">
        <v>922</v>
      </c>
      <c r="G20" s="19" t="s">
        <v>17</v>
      </c>
      <c r="H20" s="20" t="s">
        <v>745</v>
      </c>
      <c r="I20" s="20" t="s">
        <v>2538</v>
      </c>
      <c r="J20" s="20" t="s">
        <v>20</v>
      </c>
      <c r="K20" s="20" t="s">
        <v>798</v>
      </c>
      <c r="L20" s="23" t="str">
        <f>HYPERLINK("http://slimages.macys.com/is/image/MCY/11374404 ")</f>
        <v xml:space="preserve">http://slimages.macys.com/is/image/MCY/11374404 </v>
      </c>
    </row>
    <row r="21" spans="1:12" ht="36" x14ac:dyDescent="0.25">
      <c r="A21" s="19" t="s">
        <v>2539</v>
      </c>
      <c r="B21" s="20" t="s">
        <v>2540</v>
      </c>
      <c r="C21" s="21">
        <v>1</v>
      </c>
      <c r="D21" s="22">
        <v>49.99</v>
      </c>
      <c r="E21" s="21" t="s">
        <v>2541</v>
      </c>
      <c r="F21" s="20" t="s">
        <v>628</v>
      </c>
      <c r="G21" s="19"/>
      <c r="H21" s="20" t="s">
        <v>718</v>
      </c>
      <c r="I21" s="20" t="s">
        <v>806</v>
      </c>
      <c r="J21" s="20"/>
      <c r="K21" s="20"/>
      <c r="L21" s="23" t="str">
        <f>HYPERLINK("http://slimages.macys.com/is/image/MCY/17968749 ")</f>
        <v xml:space="preserve">http://slimages.macys.com/is/image/MCY/17968749 </v>
      </c>
    </row>
    <row r="22" spans="1:12" ht="36" x14ac:dyDescent="0.25">
      <c r="A22" s="19" t="s">
        <v>2542</v>
      </c>
      <c r="B22" s="20" t="s">
        <v>2543</v>
      </c>
      <c r="C22" s="21">
        <v>4</v>
      </c>
      <c r="D22" s="22">
        <v>199.96</v>
      </c>
      <c r="E22" s="21" t="s">
        <v>2544</v>
      </c>
      <c r="F22" s="20" t="s">
        <v>755</v>
      </c>
      <c r="G22" s="19" t="s">
        <v>915</v>
      </c>
      <c r="H22" s="20" t="s">
        <v>916</v>
      </c>
      <c r="I22" s="20" t="s">
        <v>917</v>
      </c>
      <c r="J22" s="20" t="s">
        <v>20</v>
      </c>
      <c r="K22" s="20" t="s">
        <v>2545</v>
      </c>
      <c r="L22" s="23" t="str">
        <f>HYPERLINK("http://slimages.macys.com/is/image/MCY/15098992 ")</f>
        <v xml:space="preserve">http://slimages.macys.com/is/image/MCY/15098992 </v>
      </c>
    </row>
    <row r="23" spans="1:12" ht="24" x14ac:dyDescent="0.25">
      <c r="A23" s="19" t="s">
        <v>2546</v>
      </c>
      <c r="B23" s="20" t="s">
        <v>2536</v>
      </c>
      <c r="C23" s="21">
        <v>2</v>
      </c>
      <c r="D23" s="22">
        <v>115.98</v>
      </c>
      <c r="E23" s="21" t="s">
        <v>2547</v>
      </c>
      <c r="F23" s="20" t="s">
        <v>922</v>
      </c>
      <c r="G23" s="19" t="s">
        <v>17</v>
      </c>
      <c r="H23" s="20" t="s">
        <v>745</v>
      </c>
      <c r="I23" s="20" t="s">
        <v>2538</v>
      </c>
      <c r="J23" s="20" t="s">
        <v>20</v>
      </c>
      <c r="K23" s="20" t="s">
        <v>798</v>
      </c>
      <c r="L23" s="23" t="str">
        <f>HYPERLINK("http://slimages.macys.com/is/image/MCY/11374557 ")</f>
        <v xml:space="preserve">http://slimages.macys.com/is/image/MCY/11374557 </v>
      </c>
    </row>
    <row r="24" spans="1:12" ht="24" x14ac:dyDescent="0.25">
      <c r="A24" s="19" t="s">
        <v>2548</v>
      </c>
      <c r="B24" s="20" t="s">
        <v>2549</v>
      </c>
      <c r="C24" s="21">
        <v>2</v>
      </c>
      <c r="D24" s="22">
        <v>115.98</v>
      </c>
      <c r="E24" s="21" t="s">
        <v>2550</v>
      </c>
      <c r="F24" s="20" t="s">
        <v>89</v>
      </c>
      <c r="G24" s="19" t="s">
        <v>17</v>
      </c>
      <c r="H24" s="20" t="s">
        <v>745</v>
      </c>
      <c r="I24" s="20" t="s">
        <v>2538</v>
      </c>
      <c r="J24" s="20" t="s">
        <v>20</v>
      </c>
      <c r="K24" s="20" t="s">
        <v>798</v>
      </c>
      <c r="L24" s="23" t="str">
        <f>HYPERLINK("http://slimages.macys.com/is/image/MCY/10906360 ")</f>
        <v xml:space="preserve">http://slimages.macys.com/is/image/MCY/10906360 </v>
      </c>
    </row>
    <row r="25" spans="1:12" ht="36" x14ac:dyDescent="0.25">
      <c r="A25" s="19" t="s">
        <v>2551</v>
      </c>
      <c r="B25" s="20" t="s">
        <v>2552</v>
      </c>
      <c r="C25" s="21">
        <v>1</v>
      </c>
      <c r="D25" s="22">
        <v>56.99</v>
      </c>
      <c r="E25" s="21" t="s">
        <v>2553</v>
      </c>
      <c r="F25" s="20" t="s">
        <v>2554</v>
      </c>
      <c r="G25" s="19"/>
      <c r="H25" s="20" t="s">
        <v>718</v>
      </c>
      <c r="I25" s="20" t="s">
        <v>2369</v>
      </c>
      <c r="J25" s="20" t="s">
        <v>20</v>
      </c>
      <c r="K25" s="20" t="s">
        <v>2012</v>
      </c>
      <c r="L25" s="23" t="str">
        <f>HYPERLINK("http://slimages.macys.com/is/image/MCY/12743073 ")</f>
        <v xml:space="preserve">http://slimages.macys.com/is/image/MCY/12743073 </v>
      </c>
    </row>
    <row r="26" spans="1:12" ht="36" x14ac:dyDescent="0.25">
      <c r="A26" s="19" t="s">
        <v>2555</v>
      </c>
      <c r="B26" s="20" t="s">
        <v>2556</v>
      </c>
      <c r="C26" s="21">
        <v>2</v>
      </c>
      <c r="D26" s="22">
        <v>159.97999999999999</v>
      </c>
      <c r="E26" s="21" t="s">
        <v>2557</v>
      </c>
      <c r="F26" s="20" t="s">
        <v>2430</v>
      </c>
      <c r="G26" s="19"/>
      <c r="H26" s="20" t="s">
        <v>707</v>
      </c>
      <c r="I26" s="20" t="s">
        <v>874</v>
      </c>
      <c r="J26" s="20" t="s">
        <v>20</v>
      </c>
      <c r="K26" s="20"/>
      <c r="L26" s="23" t="str">
        <f>HYPERLINK("http://slimages.macys.com/is/image/MCY/16212732 ")</f>
        <v xml:space="preserve">http://slimages.macys.com/is/image/MCY/16212732 </v>
      </c>
    </row>
    <row r="27" spans="1:12" ht="24" x14ac:dyDescent="0.25">
      <c r="A27" s="19" t="s">
        <v>1130</v>
      </c>
      <c r="B27" s="20" t="s">
        <v>1131</v>
      </c>
      <c r="C27" s="21">
        <v>1</v>
      </c>
      <c r="D27" s="22">
        <v>28.99</v>
      </c>
      <c r="E27" s="21" t="s">
        <v>1132</v>
      </c>
      <c r="F27" s="20" t="s">
        <v>394</v>
      </c>
      <c r="G27" s="19"/>
      <c r="H27" s="20" t="s">
        <v>718</v>
      </c>
      <c r="I27" s="20" t="s">
        <v>1133</v>
      </c>
      <c r="J27" s="20" t="s">
        <v>20</v>
      </c>
      <c r="K27" s="20" t="s">
        <v>396</v>
      </c>
      <c r="L27" s="23" t="str">
        <f>HYPERLINK("http://slimages.macys.com/is/image/MCY/12157292 ")</f>
        <v xml:space="preserve">http://slimages.macys.com/is/image/MCY/12157292 </v>
      </c>
    </row>
    <row r="28" spans="1:12" ht="24" x14ac:dyDescent="0.25">
      <c r="A28" s="19" t="s">
        <v>2558</v>
      </c>
      <c r="B28" s="20" t="s">
        <v>2559</v>
      </c>
      <c r="C28" s="21">
        <v>3</v>
      </c>
      <c r="D28" s="22">
        <v>269.97000000000003</v>
      </c>
      <c r="E28" s="21" t="s">
        <v>2560</v>
      </c>
      <c r="F28" s="20" t="s">
        <v>89</v>
      </c>
      <c r="G28" s="19"/>
      <c r="H28" s="20" t="s">
        <v>707</v>
      </c>
      <c r="I28" s="20" t="s">
        <v>708</v>
      </c>
      <c r="J28" s="20" t="s">
        <v>20</v>
      </c>
      <c r="K28" s="20"/>
      <c r="L28" s="23" t="str">
        <f>HYPERLINK("http://slimages.macys.com/is/image/MCY/12873882 ")</f>
        <v xml:space="preserve">http://slimages.macys.com/is/image/MCY/12873882 </v>
      </c>
    </row>
    <row r="29" spans="1:12" ht="24" x14ac:dyDescent="0.25">
      <c r="A29" s="19" t="s">
        <v>2561</v>
      </c>
      <c r="B29" s="20" t="s">
        <v>2562</v>
      </c>
      <c r="C29" s="21">
        <v>1</v>
      </c>
      <c r="D29" s="22">
        <v>24.99</v>
      </c>
      <c r="E29" s="21" t="s">
        <v>2563</v>
      </c>
      <c r="F29" s="20" t="s">
        <v>16</v>
      </c>
      <c r="G29" s="19"/>
      <c r="H29" s="20" t="s">
        <v>865</v>
      </c>
      <c r="I29" s="20" t="s">
        <v>746</v>
      </c>
      <c r="J29" s="20"/>
      <c r="K29" s="20"/>
      <c r="L29" s="23" t="str">
        <f>HYPERLINK("http://slimages.macys.com/is/image/MCY/9020998 ")</f>
        <v xml:space="preserve">http://slimages.macys.com/is/image/MCY/9020998 </v>
      </c>
    </row>
    <row r="30" spans="1:12" ht="36" x14ac:dyDescent="0.25">
      <c r="A30" s="19" t="s">
        <v>2564</v>
      </c>
      <c r="B30" s="20" t="s">
        <v>2565</v>
      </c>
      <c r="C30" s="21">
        <v>2</v>
      </c>
      <c r="D30" s="22">
        <v>39.979999999999997</v>
      </c>
      <c r="E30" s="21" t="s">
        <v>2566</v>
      </c>
      <c r="F30" s="20" t="s">
        <v>89</v>
      </c>
      <c r="G30" s="19"/>
      <c r="H30" s="20" t="s">
        <v>724</v>
      </c>
      <c r="I30" s="20" t="s">
        <v>1066</v>
      </c>
      <c r="J30" s="20" t="s">
        <v>20</v>
      </c>
      <c r="K30" s="20"/>
      <c r="L30" s="23" t="str">
        <f>HYPERLINK("http://slimages.macys.com/is/image/MCY/15709914 ")</f>
        <v xml:space="preserve">http://slimages.macys.com/is/image/MCY/15709914 </v>
      </c>
    </row>
    <row r="31" spans="1:12" ht="24" x14ac:dyDescent="0.25">
      <c r="A31" s="19" t="s">
        <v>2567</v>
      </c>
      <c r="B31" s="20" t="s">
        <v>2568</v>
      </c>
      <c r="C31" s="21">
        <v>1</v>
      </c>
      <c r="D31" s="22">
        <v>12.99</v>
      </c>
      <c r="E31" s="21" t="s">
        <v>2569</v>
      </c>
      <c r="F31" s="20" t="s">
        <v>89</v>
      </c>
      <c r="G31" s="19"/>
      <c r="H31" s="20" t="s">
        <v>865</v>
      </c>
      <c r="I31" s="20" t="s">
        <v>746</v>
      </c>
      <c r="J31" s="20"/>
      <c r="K31" s="20"/>
      <c r="L31" s="23" t="str">
        <f>HYPERLINK("http://slimages.macys.com/is/image/MCY/9020949 ")</f>
        <v xml:space="preserve">http://slimages.macys.com/is/image/MCY/9020949 </v>
      </c>
    </row>
    <row r="32" spans="1:12" ht="36" x14ac:dyDescent="0.25">
      <c r="A32" s="19" t="s">
        <v>2570</v>
      </c>
      <c r="B32" s="20" t="s">
        <v>2571</v>
      </c>
      <c r="C32" s="21">
        <v>1</v>
      </c>
      <c r="D32" s="22">
        <v>7.99</v>
      </c>
      <c r="E32" s="21" t="s">
        <v>2073</v>
      </c>
      <c r="F32" s="20" t="s">
        <v>2554</v>
      </c>
      <c r="G32" s="19"/>
      <c r="H32" s="20" t="s">
        <v>718</v>
      </c>
      <c r="I32" s="20" t="s">
        <v>2074</v>
      </c>
      <c r="J32" s="20"/>
      <c r="K32" s="20"/>
      <c r="L32" s="23" t="str">
        <f>HYPERLINK("http://slimages.macys.com/is/image/MCY/16854612 ")</f>
        <v xml:space="preserve">http://slimages.macys.com/is/image/MCY/16854612 </v>
      </c>
    </row>
    <row r="33" spans="1:12" ht="24" x14ac:dyDescent="0.25">
      <c r="A33" s="19" t="s">
        <v>1019</v>
      </c>
      <c r="B33" s="20" t="s">
        <v>694</v>
      </c>
      <c r="C33" s="21">
        <v>17</v>
      </c>
      <c r="D33" s="22">
        <v>680</v>
      </c>
      <c r="E33" s="21"/>
      <c r="F33" s="20" t="s">
        <v>16</v>
      </c>
      <c r="G33" s="19" t="s">
        <v>17</v>
      </c>
      <c r="H33" s="20" t="s">
        <v>695</v>
      </c>
      <c r="I33" s="20" t="s">
        <v>696</v>
      </c>
      <c r="J33" s="20"/>
      <c r="K33" s="20"/>
      <c r="L33" s="23"/>
    </row>
    <row r="34" spans="1:12" ht="36" x14ac:dyDescent="0.25">
      <c r="A34" s="19" t="s">
        <v>2572</v>
      </c>
      <c r="B34" s="20" t="s">
        <v>2573</v>
      </c>
      <c r="C34" s="21">
        <v>1</v>
      </c>
      <c r="D34" s="22">
        <v>89.99</v>
      </c>
      <c r="E34" s="21" t="s">
        <v>2574</v>
      </c>
      <c r="F34" s="20" t="s">
        <v>394</v>
      </c>
      <c r="G34" s="19"/>
      <c r="H34" s="20" t="s">
        <v>707</v>
      </c>
      <c r="I34" s="20" t="s">
        <v>1868</v>
      </c>
      <c r="J34" s="20"/>
      <c r="K34" s="20"/>
      <c r="L34" s="23"/>
    </row>
    <row r="35" spans="1:12" ht="36" x14ac:dyDescent="0.25">
      <c r="A35" s="19" t="s">
        <v>2575</v>
      </c>
      <c r="B35" s="20" t="s">
        <v>2576</v>
      </c>
      <c r="C35" s="21">
        <v>1</v>
      </c>
      <c r="D35" s="22">
        <v>39.99</v>
      </c>
      <c r="E35" s="21" t="s">
        <v>2577</v>
      </c>
      <c r="F35" s="20" t="s">
        <v>922</v>
      </c>
      <c r="G35" s="19"/>
      <c r="H35" s="20" t="s">
        <v>718</v>
      </c>
      <c r="I35" s="20" t="s">
        <v>2578</v>
      </c>
      <c r="J35" s="20"/>
      <c r="K35" s="20"/>
      <c r="L35" s="23"/>
    </row>
    <row r="36" spans="1:12" x14ac:dyDescent="0.25">
      <c r="A36" s="13"/>
      <c r="B36" s="14"/>
      <c r="C36" s="15"/>
      <c r="D36" s="16"/>
      <c r="E36" s="15"/>
      <c r="F36" s="14"/>
      <c r="G36" s="13"/>
      <c r="H36" s="14"/>
      <c r="I36" s="14"/>
      <c r="J36" s="14"/>
      <c r="K36" s="14"/>
      <c r="L36" s="17"/>
    </row>
    <row r="37" spans="1:12" x14ac:dyDescent="0.25">
      <c r="A37" s="13"/>
      <c r="B37" s="14"/>
      <c r="C37" s="15"/>
      <c r="D37" s="16"/>
      <c r="E37" s="15"/>
      <c r="F37" s="14"/>
      <c r="G37" s="13"/>
      <c r="H37" s="14"/>
      <c r="I37" s="14"/>
      <c r="J37" s="14"/>
      <c r="K37" s="14"/>
      <c r="L37" s="17"/>
    </row>
    <row r="38" spans="1:12" x14ac:dyDescent="0.25">
      <c r="A38" s="13"/>
      <c r="B38" s="14"/>
      <c r="C38" s="15"/>
      <c r="D38" s="16"/>
      <c r="E38" s="15"/>
      <c r="F38" s="14"/>
      <c r="G38" s="13"/>
      <c r="H38" s="14"/>
      <c r="I38" s="14"/>
      <c r="J38" s="14"/>
      <c r="K38" s="14"/>
      <c r="L38" s="17"/>
    </row>
    <row r="39" spans="1:12" x14ac:dyDescent="0.25">
      <c r="A39" s="13"/>
      <c r="B39" s="14"/>
      <c r="C39" s="15"/>
      <c r="D39" s="16"/>
      <c r="E39" s="15"/>
      <c r="F39" s="14"/>
      <c r="G39" s="13"/>
      <c r="H39" s="14"/>
      <c r="I39" s="14"/>
      <c r="J39" s="14"/>
      <c r="K39" s="14"/>
      <c r="L39" s="17"/>
    </row>
    <row r="40" spans="1:12" x14ac:dyDescent="0.25">
      <c r="A40" s="13"/>
      <c r="B40" s="14"/>
      <c r="C40" s="15"/>
      <c r="D40" s="16"/>
      <c r="E40" s="15"/>
      <c r="F40" s="14"/>
      <c r="G40" s="13"/>
      <c r="H40" s="14"/>
      <c r="I40" s="14"/>
      <c r="J40" s="14"/>
      <c r="K40" s="14"/>
      <c r="L40" s="17"/>
    </row>
    <row r="41" spans="1:12" x14ac:dyDescent="0.25">
      <c r="A41" s="13"/>
      <c r="B41" s="14"/>
      <c r="C41" s="15"/>
      <c r="D41" s="16"/>
      <c r="E41" s="15"/>
      <c r="F41" s="14"/>
      <c r="G41" s="13"/>
      <c r="H41" s="14"/>
      <c r="I41" s="14"/>
      <c r="J41" s="14"/>
      <c r="K41" s="14"/>
      <c r="L41" s="17"/>
    </row>
    <row r="42" spans="1:12" x14ac:dyDescent="0.25">
      <c r="A42" s="13"/>
      <c r="B42" s="14"/>
      <c r="C42" s="15"/>
      <c r="D42" s="16"/>
      <c r="E42" s="15"/>
      <c r="F42" s="14"/>
      <c r="G42" s="13"/>
      <c r="H42" s="14"/>
      <c r="I42" s="14"/>
      <c r="J42" s="14"/>
      <c r="K42" s="14"/>
      <c r="L42" s="17"/>
    </row>
    <row r="43" spans="1:12" x14ac:dyDescent="0.25">
      <c r="A43" s="13"/>
      <c r="B43" s="14"/>
      <c r="C43" s="15"/>
      <c r="D43" s="16"/>
      <c r="E43" s="15"/>
      <c r="F43" s="14"/>
      <c r="G43" s="13"/>
      <c r="H43" s="14"/>
      <c r="I43" s="14"/>
      <c r="J43" s="14"/>
      <c r="K43" s="14"/>
      <c r="L43" s="17"/>
    </row>
    <row r="44" spans="1:12" x14ac:dyDescent="0.25">
      <c r="A44" s="13"/>
      <c r="B44" s="14"/>
      <c r="C44" s="15"/>
      <c r="D44" s="16"/>
      <c r="E44" s="15"/>
      <c r="F44" s="14"/>
      <c r="G44" s="13"/>
      <c r="H44" s="14"/>
      <c r="I44" s="14"/>
      <c r="J44" s="14"/>
      <c r="K44" s="14"/>
      <c r="L44" s="17"/>
    </row>
    <row r="45" spans="1:12" x14ac:dyDescent="0.25">
      <c r="A45" s="13"/>
      <c r="B45" s="14"/>
      <c r="C45" s="15"/>
      <c r="D45" s="16"/>
      <c r="E45" s="15"/>
      <c r="F45" s="14"/>
      <c r="G45" s="13"/>
      <c r="H45" s="14"/>
      <c r="I45" s="14"/>
      <c r="J45" s="14"/>
      <c r="K45" s="14"/>
      <c r="L45" s="17"/>
    </row>
    <row r="46" spans="1:12" x14ac:dyDescent="0.25">
      <c r="A46" s="13"/>
      <c r="B46" s="14"/>
      <c r="C46" s="15"/>
      <c r="D46" s="16"/>
      <c r="E46" s="15"/>
      <c r="F46" s="14"/>
      <c r="G46" s="13"/>
      <c r="H46" s="14"/>
      <c r="I46" s="14"/>
      <c r="J46" s="14"/>
      <c r="K46" s="14"/>
      <c r="L46" s="17"/>
    </row>
    <row r="47" spans="1:12" x14ac:dyDescent="0.25">
      <c r="A47" s="13"/>
      <c r="B47" s="14"/>
      <c r="C47" s="15"/>
      <c r="D47" s="16"/>
      <c r="E47" s="15"/>
      <c r="F47" s="14"/>
      <c r="G47" s="13"/>
      <c r="H47" s="14"/>
      <c r="I47" s="14"/>
      <c r="J47" s="14"/>
      <c r="K47" s="14"/>
      <c r="L47" s="17"/>
    </row>
    <row r="48" spans="1:12" x14ac:dyDescent="0.25">
      <c r="A48" s="13"/>
      <c r="B48" s="14"/>
      <c r="C48" s="15"/>
      <c r="D48" s="16"/>
      <c r="E48" s="15"/>
      <c r="F48" s="14"/>
      <c r="G48" s="13"/>
      <c r="H48" s="14"/>
      <c r="I48" s="14"/>
      <c r="J48" s="14"/>
      <c r="K48" s="14"/>
      <c r="L48" s="17"/>
    </row>
    <row r="49" spans="1:12" x14ac:dyDescent="0.25">
      <c r="A49" s="13"/>
      <c r="B49" s="14"/>
      <c r="C49" s="15"/>
      <c r="D49" s="16"/>
      <c r="E49" s="15"/>
      <c r="F49" s="14"/>
      <c r="G49" s="13"/>
      <c r="H49" s="14"/>
      <c r="I49" s="14"/>
      <c r="J49" s="14"/>
      <c r="K49" s="14"/>
      <c r="L49" s="17"/>
    </row>
    <row r="50" spans="1:12" x14ac:dyDescent="0.25">
      <c r="A50" s="13"/>
      <c r="B50" s="14"/>
      <c r="C50" s="15"/>
      <c r="D50" s="16"/>
      <c r="E50" s="15"/>
      <c r="F50" s="14"/>
      <c r="G50" s="13"/>
      <c r="H50" s="14"/>
      <c r="I50" s="14"/>
      <c r="J50" s="14"/>
      <c r="K50" s="14"/>
      <c r="L50" s="17"/>
    </row>
    <row r="51" spans="1:12" x14ac:dyDescent="0.25">
      <c r="A51" s="13"/>
      <c r="B51" s="14"/>
      <c r="C51" s="15"/>
      <c r="D51" s="16"/>
      <c r="E51" s="15"/>
      <c r="F51" s="14"/>
      <c r="G51" s="13"/>
      <c r="H51" s="14"/>
      <c r="I51" s="14"/>
      <c r="J51" s="14"/>
      <c r="K51" s="14"/>
      <c r="L51" s="17"/>
    </row>
    <row r="52" spans="1:12" x14ac:dyDescent="0.25">
      <c r="A52" s="13"/>
      <c r="B52" s="14"/>
      <c r="C52" s="15"/>
      <c r="D52" s="16"/>
      <c r="E52" s="15"/>
      <c r="F52" s="14"/>
      <c r="G52" s="13"/>
      <c r="H52" s="14"/>
      <c r="I52" s="14"/>
      <c r="J52" s="14"/>
      <c r="K52" s="14"/>
      <c r="L52" s="17"/>
    </row>
    <row r="53" spans="1:12" x14ac:dyDescent="0.25">
      <c r="A53" s="13"/>
      <c r="B53" s="14"/>
      <c r="C53" s="15"/>
      <c r="D53" s="16"/>
      <c r="E53" s="15"/>
      <c r="F53" s="14"/>
      <c r="G53" s="13"/>
      <c r="H53" s="14"/>
      <c r="I53" s="14"/>
      <c r="J53" s="14"/>
      <c r="K53" s="14"/>
      <c r="L53" s="17"/>
    </row>
    <row r="54" spans="1:12" x14ac:dyDescent="0.25">
      <c r="A54" s="13"/>
      <c r="B54" s="14"/>
      <c r="C54" s="15"/>
      <c r="D54" s="16"/>
      <c r="E54" s="15"/>
      <c r="F54" s="14"/>
      <c r="G54" s="13"/>
      <c r="H54" s="14"/>
      <c r="I54" s="14"/>
      <c r="J54" s="14"/>
      <c r="K54" s="14"/>
      <c r="L54" s="17"/>
    </row>
    <row r="55" spans="1:12" x14ac:dyDescent="0.25">
      <c r="A55" s="13"/>
      <c r="B55" s="14"/>
      <c r="C55" s="15"/>
      <c r="D55" s="16"/>
      <c r="E55" s="15"/>
      <c r="F55" s="14"/>
      <c r="G55" s="13"/>
      <c r="H55" s="14"/>
      <c r="I55" s="14"/>
      <c r="J55" s="14"/>
      <c r="K55" s="14"/>
      <c r="L55" s="17"/>
    </row>
    <row r="56" spans="1:12" x14ac:dyDescent="0.25">
      <c r="A56" s="13"/>
      <c r="B56" s="14"/>
      <c r="C56" s="15"/>
      <c r="D56" s="16"/>
      <c r="E56" s="15"/>
      <c r="F56" s="14"/>
      <c r="G56" s="13"/>
      <c r="H56" s="14"/>
      <c r="I56" s="14"/>
      <c r="J56" s="14"/>
      <c r="K56" s="14"/>
      <c r="L56" s="17"/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2"/>
  <sheetViews>
    <sheetView workbookViewId="0">
      <selection activeCell="H4" sqref="H4"/>
    </sheetView>
  </sheetViews>
  <sheetFormatPr defaultRowHeight="15" x14ac:dyDescent="0.25"/>
  <cols>
    <col min="1" max="1" width="14.28515625" style="25" customWidth="1"/>
    <col min="2" max="2" width="22.28515625" style="25" customWidth="1"/>
    <col min="3" max="3" width="15" style="25" customWidth="1"/>
    <col min="4" max="4" width="10.28515625" style="25" customWidth="1"/>
    <col min="5" max="5" width="17.140625" style="25" customWidth="1"/>
    <col min="6" max="6" width="11.42578125" style="25" customWidth="1"/>
    <col min="7" max="7" width="10.85546875" style="25" customWidth="1"/>
    <col min="8" max="8" width="12.140625" style="25" customWidth="1"/>
    <col min="9" max="9" width="36.5703125" style="25" bestFit="1" customWidth="1"/>
    <col min="10" max="11" width="20.7109375" style="25" customWidth="1"/>
    <col min="12" max="12" width="26.28515625" style="25" customWidth="1"/>
    <col min="13" max="16384" width="9.140625" style="25"/>
  </cols>
  <sheetData>
    <row r="1" spans="1:12" ht="36" x14ac:dyDescent="0.25">
      <c r="A1" s="18" t="s">
        <v>2</v>
      </c>
      <c r="B1" s="18" t="s">
        <v>3</v>
      </c>
      <c r="C1" s="18" t="s">
        <v>4</v>
      </c>
      <c r="D1" s="18" t="s">
        <v>5</v>
      </c>
      <c r="E1" s="18" t="s">
        <v>6</v>
      </c>
      <c r="F1" s="18" t="s">
        <v>7</v>
      </c>
      <c r="G1" s="18" t="s">
        <v>8</v>
      </c>
      <c r="H1" s="18" t="s">
        <v>9</v>
      </c>
      <c r="I1" s="18" t="s">
        <v>10</v>
      </c>
      <c r="J1" s="18" t="s">
        <v>11</v>
      </c>
      <c r="K1" s="18" t="s">
        <v>12</v>
      </c>
      <c r="L1" s="18" t="s">
        <v>13</v>
      </c>
    </row>
    <row r="2" spans="1:12" ht="36" x14ac:dyDescent="0.25">
      <c r="A2" s="19" t="s">
        <v>2579</v>
      </c>
      <c r="B2" s="20" t="s">
        <v>2580</v>
      </c>
      <c r="C2" s="21">
        <v>1</v>
      </c>
      <c r="D2" s="22">
        <v>279.99</v>
      </c>
      <c r="E2" s="21" t="s">
        <v>2581</v>
      </c>
      <c r="F2" s="20" t="s">
        <v>206</v>
      </c>
      <c r="G2" s="19"/>
      <c r="H2" s="20" t="s">
        <v>707</v>
      </c>
      <c r="I2" s="20" t="s">
        <v>874</v>
      </c>
      <c r="J2" s="20"/>
      <c r="K2" s="20"/>
      <c r="L2" s="23" t="str">
        <f>HYPERLINK("http://slimages.macys.com/is/image/MCY/9165322 ")</f>
        <v xml:space="preserve">http://slimages.macys.com/is/image/MCY/9165322 </v>
      </c>
    </row>
    <row r="3" spans="1:12" ht="36" x14ac:dyDescent="0.25">
      <c r="A3" s="19" t="s">
        <v>2582</v>
      </c>
      <c r="B3" s="20" t="s">
        <v>2583</v>
      </c>
      <c r="C3" s="21">
        <v>1</v>
      </c>
      <c r="D3" s="22">
        <v>229.99</v>
      </c>
      <c r="E3" s="21" t="s">
        <v>2584</v>
      </c>
      <c r="F3" s="20" t="s">
        <v>394</v>
      </c>
      <c r="G3" s="19"/>
      <c r="H3" s="20" t="s">
        <v>707</v>
      </c>
      <c r="I3" s="20" t="s">
        <v>1110</v>
      </c>
      <c r="J3" s="20" t="s">
        <v>20</v>
      </c>
      <c r="K3" s="20" t="s">
        <v>2585</v>
      </c>
      <c r="L3" s="23" t="str">
        <f>HYPERLINK("http://slimages.macys.com/is/image/MCY/3209872 ")</f>
        <v xml:space="preserve">http://slimages.macys.com/is/image/MCY/3209872 </v>
      </c>
    </row>
    <row r="4" spans="1:12" ht="48" x14ac:dyDescent="0.25">
      <c r="A4" s="19" t="s">
        <v>2586</v>
      </c>
      <c r="B4" s="20" t="s">
        <v>2587</v>
      </c>
      <c r="C4" s="21">
        <v>1</v>
      </c>
      <c r="D4" s="22">
        <v>179.99</v>
      </c>
      <c r="E4" s="21">
        <v>15456111</v>
      </c>
      <c r="F4" s="20" t="s">
        <v>54</v>
      </c>
      <c r="G4" s="19"/>
      <c r="H4" s="20" t="s">
        <v>734</v>
      </c>
      <c r="I4" s="20" t="s">
        <v>941</v>
      </c>
      <c r="J4" s="20" t="s">
        <v>20</v>
      </c>
      <c r="K4" s="20" t="s">
        <v>330</v>
      </c>
      <c r="L4" s="23" t="str">
        <f>HYPERLINK("http://slimages.macys.com/is/image/MCY/9302469 ")</f>
        <v xml:space="preserve">http://slimages.macys.com/is/image/MCY/9302469 </v>
      </c>
    </row>
    <row r="5" spans="1:12" ht="36" x14ac:dyDescent="0.25">
      <c r="A5" s="19" t="s">
        <v>2588</v>
      </c>
      <c r="B5" s="20" t="s">
        <v>2589</v>
      </c>
      <c r="C5" s="21">
        <v>1</v>
      </c>
      <c r="D5" s="22">
        <v>329.99</v>
      </c>
      <c r="E5" s="21" t="s">
        <v>2590</v>
      </c>
      <c r="F5" s="20" t="s">
        <v>89</v>
      </c>
      <c r="G5" s="19"/>
      <c r="H5" s="20" t="s">
        <v>707</v>
      </c>
      <c r="I5" s="20" t="s">
        <v>730</v>
      </c>
      <c r="J5" s="20" t="s">
        <v>20</v>
      </c>
      <c r="K5" s="20" t="s">
        <v>789</v>
      </c>
      <c r="L5" s="23" t="str">
        <f>HYPERLINK("http://slimages.macys.com/is/image/MCY/15604029 ")</f>
        <v xml:space="preserve">http://slimages.macys.com/is/image/MCY/15604029 </v>
      </c>
    </row>
    <row r="6" spans="1:12" ht="48" x14ac:dyDescent="0.25">
      <c r="A6" s="19" t="s">
        <v>2591</v>
      </c>
      <c r="B6" s="20" t="s">
        <v>2592</v>
      </c>
      <c r="C6" s="21">
        <v>1</v>
      </c>
      <c r="D6" s="22">
        <v>179.99</v>
      </c>
      <c r="E6" s="21" t="s">
        <v>2593</v>
      </c>
      <c r="F6" s="20" t="s">
        <v>54</v>
      </c>
      <c r="G6" s="19"/>
      <c r="H6" s="20" t="s">
        <v>831</v>
      </c>
      <c r="I6" s="20" t="s">
        <v>2594</v>
      </c>
      <c r="J6" s="20" t="s">
        <v>20</v>
      </c>
      <c r="K6" s="20" t="s">
        <v>2595</v>
      </c>
      <c r="L6" s="23" t="str">
        <f>HYPERLINK("http://slimages.macys.com/is/image/MCY/9065878 ")</f>
        <v xml:space="preserve">http://slimages.macys.com/is/image/MCY/9065878 </v>
      </c>
    </row>
    <row r="7" spans="1:12" ht="36" x14ac:dyDescent="0.25">
      <c r="A7" s="19" t="s">
        <v>2596</v>
      </c>
      <c r="B7" s="20" t="s">
        <v>2597</v>
      </c>
      <c r="C7" s="21">
        <v>1</v>
      </c>
      <c r="D7" s="22">
        <v>149.99</v>
      </c>
      <c r="E7" s="21" t="s">
        <v>2598</v>
      </c>
      <c r="F7" s="20" t="s">
        <v>922</v>
      </c>
      <c r="G7" s="19"/>
      <c r="H7" s="20" t="s">
        <v>707</v>
      </c>
      <c r="I7" s="20" t="s">
        <v>2513</v>
      </c>
      <c r="J7" s="20" t="s">
        <v>20</v>
      </c>
      <c r="K7" s="20" t="s">
        <v>330</v>
      </c>
      <c r="L7" s="23" t="str">
        <f>HYPERLINK("http://slimages.macys.com/is/image/MCY/8708082 ")</f>
        <v xml:space="preserve">http://slimages.macys.com/is/image/MCY/8708082 </v>
      </c>
    </row>
    <row r="8" spans="1:12" ht="36" x14ac:dyDescent="0.25">
      <c r="A8" s="19" t="s">
        <v>2599</v>
      </c>
      <c r="B8" s="20" t="s">
        <v>2600</v>
      </c>
      <c r="C8" s="21">
        <v>1</v>
      </c>
      <c r="D8" s="22">
        <v>78.11</v>
      </c>
      <c r="E8" s="21" t="s">
        <v>2601</v>
      </c>
      <c r="F8" s="20" t="s">
        <v>1036</v>
      </c>
      <c r="G8" s="19"/>
      <c r="H8" s="20" t="s">
        <v>745</v>
      </c>
      <c r="I8" s="20" t="s">
        <v>2602</v>
      </c>
      <c r="J8" s="20" t="s">
        <v>20</v>
      </c>
      <c r="K8" s="20" t="s">
        <v>2603</v>
      </c>
      <c r="L8" s="23" t="str">
        <f>HYPERLINK("http://slimages.macys.com/is/image/MCY/840673 ")</f>
        <v xml:space="preserve">http://slimages.macys.com/is/image/MCY/840673 </v>
      </c>
    </row>
    <row r="9" spans="1:12" ht="36" x14ac:dyDescent="0.25">
      <c r="A9" s="19" t="s">
        <v>2604</v>
      </c>
      <c r="B9" s="20" t="s">
        <v>2605</v>
      </c>
      <c r="C9" s="21">
        <v>1</v>
      </c>
      <c r="D9" s="22">
        <v>119.99</v>
      </c>
      <c r="E9" s="21" t="s">
        <v>2606</v>
      </c>
      <c r="F9" s="20" t="s">
        <v>89</v>
      </c>
      <c r="G9" s="19"/>
      <c r="H9" s="20" t="s">
        <v>712</v>
      </c>
      <c r="I9" s="20" t="s">
        <v>1624</v>
      </c>
      <c r="J9" s="20" t="s">
        <v>20</v>
      </c>
      <c r="K9" s="20" t="s">
        <v>396</v>
      </c>
      <c r="L9" s="23" t="str">
        <f>HYPERLINK("http://slimages.macys.com/is/image/MCY/13814967 ")</f>
        <v xml:space="preserve">http://slimages.macys.com/is/image/MCY/13814967 </v>
      </c>
    </row>
    <row r="10" spans="1:12" ht="36" x14ac:dyDescent="0.25">
      <c r="A10" s="19" t="s">
        <v>2607</v>
      </c>
      <c r="B10" s="20" t="s">
        <v>2608</v>
      </c>
      <c r="C10" s="21">
        <v>1</v>
      </c>
      <c r="D10" s="22">
        <v>119.99</v>
      </c>
      <c r="E10" s="21" t="s">
        <v>2609</v>
      </c>
      <c r="F10" s="20" t="s">
        <v>31</v>
      </c>
      <c r="G10" s="19"/>
      <c r="H10" s="20" t="s">
        <v>1528</v>
      </c>
      <c r="I10" s="20" t="s">
        <v>2141</v>
      </c>
      <c r="J10" s="20" t="s">
        <v>20</v>
      </c>
      <c r="K10" s="20" t="s">
        <v>2610</v>
      </c>
      <c r="L10" s="23" t="str">
        <f>HYPERLINK("http://slimages.macys.com/is/image/MCY/10128042 ")</f>
        <v xml:space="preserve">http://slimages.macys.com/is/image/MCY/10128042 </v>
      </c>
    </row>
    <row r="11" spans="1:12" ht="48" x14ac:dyDescent="0.25">
      <c r="A11" s="19" t="s">
        <v>2611</v>
      </c>
      <c r="B11" s="20" t="s">
        <v>2612</v>
      </c>
      <c r="C11" s="21">
        <v>2</v>
      </c>
      <c r="D11" s="22">
        <v>239.98</v>
      </c>
      <c r="E11" s="21" t="s">
        <v>2613</v>
      </c>
      <c r="F11" s="20" t="s">
        <v>1124</v>
      </c>
      <c r="G11" s="19"/>
      <c r="H11" s="20" t="s">
        <v>712</v>
      </c>
      <c r="I11" s="20" t="s">
        <v>746</v>
      </c>
      <c r="J11" s="20" t="s">
        <v>20</v>
      </c>
      <c r="K11" s="20" t="s">
        <v>2614</v>
      </c>
      <c r="L11" s="23" t="str">
        <f>HYPERLINK("http://slimages.macys.com/is/image/MCY/9627943 ")</f>
        <v xml:space="preserve">http://slimages.macys.com/is/image/MCY/9627943 </v>
      </c>
    </row>
    <row r="12" spans="1:12" ht="36" x14ac:dyDescent="0.25">
      <c r="A12" s="19" t="s">
        <v>2615</v>
      </c>
      <c r="B12" s="20" t="s">
        <v>2616</v>
      </c>
      <c r="C12" s="21">
        <v>1</v>
      </c>
      <c r="D12" s="22">
        <v>99.99</v>
      </c>
      <c r="E12" s="21" t="s">
        <v>2617</v>
      </c>
      <c r="F12" s="20" t="s">
        <v>922</v>
      </c>
      <c r="G12" s="19"/>
      <c r="H12" s="20" t="s">
        <v>765</v>
      </c>
      <c r="I12" s="20" t="s">
        <v>2618</v>
      </c>
      <c r="J12" s="20" t="s">
        <v>20</v>
      </c>
      <c r="K12" s="20" t="s">
        <v>798</v>
      </c>
      <c r="L12" s="23" t="str">
        <f>HYPERLINK("http://slimages.macys.com/is/image/MCY/8821675 ")</f>
        <v xml:space="preserve">http://slimages.macys.com/is/image/MCY/8821675 </v>
      </c>
    </row>
    <row r="13" spans="1:12" ht="36" x14ac:dyDescent="0.25">
      <c r="A13" s="19" t="s">
        <v>2619</v>
      </c>
      <c r="B13" s="20" t="s">
        <v>2620</v>
      </c>
      <c r="C13" s="21">
        <v>1</v>
      </c>
      <c r="D13" s="22">
        <v>99.99</v>
      </c>
      <c r="E13" s="21" t="s">
        <v>2621</v>
      </c>
      <c r="F13" s="20" t="s">
        <v>691</v>
      </c>
      <c r="G13" s="19"/>
      <c r="H13" s="20" t="s">
        <v>765</v>
      </c>
      <c r="I13" s="20" t="s">
        <v>2618</v>
      </c>
      <c r="J13" s="20" t="s">
        <v>20</v>
      </c>
      <c r="K13" s="20" t="s">
        <v>798</v>
      </c>
      <c r="L13" s="23" t="str">
        <f>HYPERLINK("http://slimages.macys.com/is/image/MCY/8821675 ")</f>
        <v xml:space="preserve">http://slimages.macys.com/is/image/MCY/8821675 </v>
      </c>
    </row>
    <row r="14" spans="1:12" ht="36" x14ac:dyDescent="0.25">
      <c r="A14" s="19" t="s">
        <v>2622</v>
      </c>
      <c r="B14" s="20" t="s">
        <v>2623</v>
      </c>
      <c r="C14" s="21">
        <v>1</v>
      </c>
      <c r="D14" s="22">
        <v>89.99</v>
      </c>
      <c r="E14" s="21" t="s">
        <v>2624</v>
      </c>
      <c r="F14" s="20" t="s">
        <v>691</v>
      </c>
      <c r="G14" s="19"/>
      <c r="H14" s="20" t="s">
        <v>707</v>
      </c>
      <c r="I14" s="20" t="s">
        <v>2625</v>
      </c>
      <c r="J14" s="20"/>
      <c r="K14" s="20"/>
      <c r="L14" s="23" t="str">
        <f>HYPERLINK("http://slimages.macys.com/is/image/MCY/3712626 ")</f>
        <v xml:space="preserve">http://slimages.macys.com/is/image/MCY/3712626 </v>
      </c>
    </row>
    <row r="15" spans="1:12" ht="36" x14ac:dyDescent="0.25">
      <c r="A15" s="19" t="s">
        <v>2626</v>
      </c>
      <c r="B15" s="20" t="s">
        <v>2627</v>
      </c>
      <c r="C15" s="21">
        <v>1</v>
      </c>
      <c r="D15" s="22">
        <v>89.99</v>
      </c>
      <c r="E15" s="21" t="s">
        <v>2628</v>
      </c>
      <c r="F15" s="20" t="s">
        <v>2055</v>
      </c>
      <c r="G15" s="19"/>
      <c r="H15" s="20" t="s">
        <v>1528</v>
      </c>
      <c r="I15" s="20" t="s">
        <v>2629</v>
      </c>
      <c r="J15" s="20" t="s">
        <v>20</v>
      </c>
      <c r="K15" s="20" t="s">
        <v>2630</v>
      </c>
      <c r="L15" s="23" t="str">
        <f>HYPERLINK("http://slimages.macys.com/is/image/MCY/9705146 ")</f>
        <v xml:space="preserve">http://slimages.macys.com/is/image/MCY/9705146 </v>
      </c>
    </row>
    <row r="16" spans="1:12" ht="48" x14ac:dyDescent="0.25">
      <c r="A16" s="19" t="s">
        <v>2631</v>
      </c>
      <c r="B16" s="20" t="s">
        <v>2632</v>
      </c>
      <c r="C16" s="21">
        <v>3</v>
      </c>
      <c r="D16" s="22">
        <v>239.97</v>
      </c>
      <c r="E16" s="21" t="s">
        <v>2633</v>
      </c>
      <c r="F16" s="20" t="s">
        <v>691</v>
      </c>
      <c r="G16" s="19"/>
      <c r="H16" s="20" t="s">
        <v>707</v>
      </c>
      <c r="I16" s="20" t="s">
        <v>2625</v>
      </c>
      <c r="J16" s="20"/>
      <c r="K16" s="20"/>
      <c r="L16" s="23" t="str">
        <f>HYPERLINK("http://slimages.macys.com/is/image/MCY/3209856 ")</f>
        <v xml:space="preserve">http://slimages.macys.com/is/image/MCY/3209856 </v>
      </c>
    </row>
    <row r="17" spans="1:12" ht="36" x14ac:dyDescent="0.25">
      <c r="A17" s="19" t="s">
        <v>2634</v>
      </c>
      <c r="B17" s="20" t="s">
        <v>2635</v>
      </c>
      <c r="C17" s="21">
        <v>1</v>
      </c>
      <c r="D17" s="22">
        <v>79.989999999999995</v>
      </c>
      <c r="E17" s="21" t="s">
        <v>2636</v>
      </c>
      <c r="F17" s="20" t="s">
        <v>349</v>
      </c>
      <c r="G17" s="19"/>
      <c r="H17" s="20" t="s">
        <v>707</v>
      </c>
      <c r="I17" s="20" t="s">
        <v>708</v>
      </c>
      <c r="J17" s="20" t="s">
        <v>20</v>
      </c>
      <c r="K17" s="20" t="s">
        <v>2637</v>
      </c>
      <c r="L17" s="23" t="str">
        <f>HYPERLINK("http://slimages.macys.com/is/image/MCY/3518727 ")</f>
        <v xml:space="preserve">http://slimages.macys.com/is/image/MCY/3518727 </v>
      </c>
    </row>
    <row r="18" spans="1:12" ht="36" x14ac:dyDescent="0.25">
      <c r="A18" s="19" t="s">
        <v>2638</v>
      </c>
      <c r="B18" s="20" t="s">
        <v>2639</v>
      </c>
      <c r="C18" s="21">
        <v>1</v>
      </c>
      <c r="D18" s="22">
        <v>49.99</v>
      </c>
      <c r="E18" s="21">
        <v>18648338</v>
      </c>
      <c r="F18" s="20" t="s">
        <v>755</v>
      </c>
      <c r="G18" s="19"/>
      <c r="H18" s="20" t="s">
        <v>718</v>
      </c>
      <c r="I18" s="20" t="s">
        <v>1092</v>
      </c>
      <c r="J18" s="20" t="s">
        <v>20</v>
      </c>
      <c r="K18" s="20"/>
      <c r="L18" s="23" t="str">
        <f>HYPERLINK("http://slimages.macys.com/is/image/MCY/8756809 ")</f>
        <v xml:space="preserve">http://slimages.macys.com/is/image/MCY/8756809 </v>
      </c>
    </row>
    <row r="19" spans="1:12" ht="36" x14ac:dyDescent="0.25">
      <c r="A19" s="19" t="s">
        <v>2640</v>
      </c>
      <c r="B19" s="20" t="s">
        <v>2641</v>
      </c>
      <c r="C19" s="21">
        <v>2</v>
      </c>
      <c r="D19" s="22">
        <v>159.97999999999999</v>
      </c>
      <c r="E19" s="21" t="s">
        <v>2642</v>
      </c>
      <c r="F19" s="20" t="s">
        <v>691</v>
      </c>
      <c r="G19" s="19"/>
      <c r="H19" s="20" t="s">
        <v>765</v>
      </c>
      <c r="I19" s="20" t="s">
        <v>2618</v>
      </c>
      <c r="J19" s="20" t="s">
        <v>20</v>
      </c>
      <c r="K19" s="20" t="s">
        <v>798</v>
      </c>
      <c r="L19" s="23" t="str">
        <f>HYPERLINK("http://slimages.macys.com/is/image/MCY/8821675 ")</f>
        <v xml:space="preserve">http://slimages.macys.com/is/image/MCY/8821675 </v>
      </c>
    </row>
    <row r="20" spans="1:12" ht="36" x14ac:dyDescent="0.25">
      <c r="A20" s="19" t="s">
        <v>2643</v>
      </c>
      <c r="B20" s="20" t="s">
        <v>2644</v>
      </c>
      <c r="C20" s="21">
        <v>2</v>
      </c>
      <c r="D20" s="22">
        <v>159.97999999999999</v>
      </c>
      <c r="E20" s="21" t="s">
        <v>2645</v>
      </c>
      <c r="F20" s="20" t="s">
        <v>922</v>
      </c>
      <c r="G20" s="19"/>
      <c r="H20" s="20" t="s">
        <v>765</v>
      </c>
      <c r="I20" s="20" t="s">
        <v>2618</v>
      </c>
      <c r="J20" s="20" t="s">
        <v>20</v>
      </c>
      <c r="K20" s="20" t="s">
        <v>798</v>
      </c>
      <c r="L20" s="23" t="str">
        <f>HYPERLINK("http://slimages.macys.com/is/image/MCY/8821675 ")</f>
        <v xml:space="preserve">http://slimages.macys.com/is/image/MCY/8821675 </v>
      </c>
    </row>
    <row r="21" spans="1:12" ht="36" x14ac:dyDescent="0.25">
      <c r="A21" s="19" t="s">
        <v>2646</v>
      </c>
      <c r="B21" s="20" t="s">
        <v>2647</v>
      </c>
      <c r="C21" s="21">
        <v>2</v>
      </c>
      <c r="D21" s="22">
        <v>159.97999999999999</v>
      </c>
      <c r="E21" s="21" t="s">
        <v>2648</v>
      </c>
      <c r="F21" s="20" t="s">
        <v>1121</v>
      </c>
      <c r="G21" s="19"/>
      <c r="H21" s="20" t="s">
        <v>765</v>
      </c>
      <c r="I21" s="20" t="s">
        <v>2618</v>
      </c>
      <c r="J21" s="20" t="s">
        <v>20</v>
      </c>
      <c r="K21" s="20" t="s">
        <v>798</v>
      </c>
      <c r="L21" s="23" t="str">
        <f>HYPERLINK("http://slimages.macys.com/is/image/MCY/8821675 ")</f>
        <v xml:space="preserve">http://slimages.macys.com/is/image/MCY/8821675 </v>
      </c>
    </row>
    <row r="22" spans="1:12" ht="24" x14ac:dyDescent="0.25">
      <c r="A22" s="19" t="s">
        <v>2649</v>
      </c>
      <c r="B22" s="20" t="s">
        <v>2650</v>
      </c>
      <c r="C22" s="21">
        <v>1</v>
      </c>
      <c r="D22" s="22">
        <v>89.99</v>
      </c>
      <c r="E22" s="21">
        <v>100008270</v>
      </c>
      <c r="F22" s="20" t="s">
        <v>89</v>
      </c>
      <c r="G22" s="19"/>
      <c r="H22" s="20" t="s">
        <v>707</v>
      </c>
      <c r="I22" s="20" t="s">
        <v>874</v>
      </c>
      <c r="J22" s="20" t="s">
        <v>20</v>
      </c>
      <c r="K22" s="20"/>
      <c r="L22" s="23" t="str">
        <f>HYPERLINK("http://slimages.macys.com/is/image/MCY/9021449 ")</f>
        <v xml:space="preserve">http://slimages.macys.com/is/image/MCY/9021449 </v>
      </c>
    </row>
    <row r="23" spans="1:12" ht="36" x14ac:dyDescent="0.25">
      <c r="A23" s="19" t="s">
        <v>2651</v>
      </c>
      <c r="B23" s="20" t="s">
        <v>2652</v>
      </c>
      <c r="C23" s="21">
        <v>1</v>
      </c>
      <c r="D23" s="22">
        <v>55.99</v>
      </c>
      <c r="E23" s="21" t="s">
        <v>2653</v>
      </c>
      <c r="F23" s="20" t="s">
        <v>1036</v>
      </c>
      <c r="G23" s="19"/>
      <c r="H23" s="20" t="s">
        <v>745</v>
      </c>
      <c r="I23" s="20" t="s">
        <v>746</v>
      </c>
      <c r="J23" s="20" t="s">
        <v>20</v>
      </c>
      <c r="K23" s="20" t="s">
        <v>2654</v>
      </c>
      <c r="L23" s="23" t="str">
        <f>HYPERLINK("http://slimages.macys.com/is/image/MCY/10981573 ")</f>
        <v xml:space="preserve">http://slimages.macys.com/is/image/MCY/10981573 </v>
      </c>
    </row>
    <row r="24" spans="1:12" ht="36" x14ac:dyDescent="0.25">
      <c r="A24" s="19" t="s">
        <v>2655</v>
      </c>
      <c r="B24" s="20" t="s">
        <v>2656</v>
      </c>
      <c r="C24" s="21">
        <v>1</v>
      </c>
      <c r="D24" s="22">
        <v>59.99</v>
      </c>
      <c r="E24" s="21" t="s">
        <v>2657</v>
      </c>
      <c r="F24" s="20" t="s">
        <v>78</v>
      </c>
      <c r="G24" s="19"/>
      <c r="H24" s="20" t="s">
        <v>765</v>
      </c>
      <c r="I24" s="20" t="s">
        <v>746</v>
      </c>
      <c r="J24" s="20" t="s">
        <v>20</v>
      </c>
      <c r="K24" s="20" t="s">
        <v>798</v>
      </c>
      <c r="L24" s="23" t="str">
        <f>HYPERLINK("http://slimages.macys.com/is/image/MCY/10764970 ")</f>
        <v xml:space="preserve">http://slimages.macys.com/is/image/MCY/10764970 </v>
      </c>
    </row>
    <row r="25" spans="1:12" ht="36" x14ac:dyDescent="0.25">
      <c r="A25" s="19" t="s">
        <v>2658</v>
      </c>
      <c r="B25" s="20" t="s">
        <v>2659</v>
      </c>
      <c r="C25" s="21">
        <v>2</v>
      </c>
      <c r="D25" s="22">
        <v>99.98</v>
      </c>
      <c r="E25" s="21" t="s">
        <v>2660</v>
      </c>
      <c r="F25" s="20" t="s">
        <v>1008</v>
      </c>
      <c r="G25" s="19"/>
      <c r="H25" s="20" t="s">
        <v>865</v>
      </c>
      <c r="I25" s="20" t="s">
        <v>2661</v>
      </c>
      <c r="J25" s="20" t="s">
        <v>20</v>
      </c>
      <c r="K25" s="20" t="s">
        <v>2662</v>
      </c>
      <c r="L25" s="23" t="str">
        <f>HYPERLINK("http://slimages.macys.com/is/image/MCY/11282643 ")</f>
        <v xml:space="preserve">http://slimages.macys.com/is/image/MCY/11282643 </v>
      </c>
    </row>
    <row r="26" spans="1:12" ht="36" x14ac:dyDescent="0.25">
      <c r="A26" s="19" t="s">
        <v>2663</v>
      </c>
      <c r="B26" s="20" t="s">
        <v>2664</v>
      </c>
      <c r="C26" s="21">
        <v>1</v>
      </c>
      <c r="D26" s="22">
        <v>49.99</v>
      </c>
      <c r="E26" s="21" t="s">
        <v>2665</v>
      </c>
      <c r="F26" s="20" t="s">
        <v>576</v>
      </c>
      <c r="G26" s="19"/>
      <c r="H26" s="20" t="s">
        <v>831</v>
      </c>
      <c r="I26" s="20" t="s">
        <v>2197</v>
      </c>
      <c r="J26" s="20" t="s">
        <v>20</v>
      </c>
      <c r="K26" s="20" t="s">
        <v>396</v>
      </c>
      <c r="L26" s="23" t="str">
        <f>HYPERLINK("http://slimages.macys.com/is/image/MCY/3833736 ")</f>
        <v xml:space="preserve">http://slimages.macys.com/is/image/MCY/3833736 </v>
      </c>
    </row>
    <row r="27" spans="1:12" ht="96" x14ac:dyDescent="0.25">
      <c r="A27" s="19" t="s">
        <v>2666</v>
      </c>
      <c r="B27" s="20" t="s">
        <v>2667</v>
      </c>
      <c r="C27" s="21">
        <v>1</v>
      </c>
      <c r="D27" s="22">
        <v>55.99</v>
      </c>
      <c r="E27" s="21" t="s">
        <v>2668</v>
      </c>
      <c r="F27" s="20" t="s">
        <v>600</v>
      </c>
      <c r="G27" s="19"/>
      <c r="H27" s="20" t="s">
        <v>712</v>
      </c>
      <c r="I27" s="20" t="s">
        <v>1576</v>
      </c>
      <c r="J27" s="20" t="s">
        <v>20</v>
      </c>
      <c r="K27" s="20" t="s">
        <v>2669</v>
      </c>
      <c r="L27" s="23" t="str">
        <f>HYPERLINK("http://slimages.macys.com/is/image/MCY/10005655 ")</f>
        <v xml:space="preserve">http://slimages.macys.com/is/image/MCY/10005655 </v>
      </c>
    </row>
    <row r="28" spans="1:12" ht="24" x14ac:dyDescent="0.25">
      <c r="A28" s="19" t="s">
        <v>2670</v>
      </c>
      <c r="B28" s="20" t="s">
        <v>2671</v>
      </c>
      <c r="C28" s="21">
        <v>1</v>
      </c>
      <c r="D28" s="22">
        <v>49.99</v>
      </c>
      <c r="E28" s="21" t="s">
        <v>2672</v>
      </c>
      <c r="F28" s="20" t="s">
        <v>674</v>
      </c>
      <c r="G28" s="19"/>
      <c r="H28" s="20" t="s">
        <v>765</v>
      </c>
      <c r="I28" s="20" t="s">
        <v>2673</v>
      </c>
      <c r="J28" s="20" t="s">
        <v>20</v>
      </c>
      <c r="K28" s="20" t="s">
        <v>2674</v>
      </c>
      <c r="L28" s="23" t="str">
        <f>HYPERLINK("http://slimages.macys.com/is/image/MCY/16059464 ")</f>
        <v xml:space="preserve">http://slimages.macys.com/is/image/MCY/16059464 </v>
      </c>
    </row>
    <row r="29" spans="1:12" ht="36" x14ac:dyDescent="0.25">
      <c r="A29" s="19" t="s">
        <v>2675</v>
      </c>
      <c r="B29" s="20" t="s">
        <v>2676</v>
      </c>
      <c r="C29" s="21">
        <v>1</v>
      </c>
      <c r="D29" s="22">
        <v>179.98</v>
      </c>
      <c r="E29" s="21" t="s">
        <v>2677</v>
      </c>
      <c r="F29" s="20" t="s">
        <v>54</v>
      </c>
      <c r="G29" s="19" t="s">
        <v>2678</v>
      </c>
      <c r="H29" s="20" t="s">
        <v>2679</v>
      </c>
      <c r="I29" s="20" t="s">
        <v>2680</v>
      </c>
      <c r="J29" s="20" t="s">
        <v>20</v>
      </c>
      <c r="K29" s="20" t="s">
        <v>2681</v>
      </c>
      <c r="L29" s="23" t="str">
        <f>HYPERLINK("http://slimages.macys.com/is/image/MCY/13376537 ")</f>
        <v xml:space="preserve">http://slimages.macys.com/is/image/MCY/13376537 </v>
      </c>
    </row>
    <row r="30" spans="1:12" ht="36" x14ac:dyDescent="0.25">
      <c r="A30" s="19" t="s">
        <v>2682</v>
      </c>
      <c r="B30" s="20" t="s">
        <v>2683</v>
      </c>
      <c r="C30" s="21">
        <v>2</v>
      </c>
      <c r="D30" s="22">
        <v>358</v>
      </c>
      <c r="E30" s="21">
        <v>3132961</v>
      </c>
      <c r="F30" s="20" t="s">
        <v>78</v>
      </c>
      <c r="G30" s="19"/>
      <c r="H30" s="20" t="s">
        <v>2679</v>
      </c>
      <c r="I30" s="20" t="s">
        <v>2684</v>
      </c>
      <c r="J30" s="20" t="s">
        <v>20</v>
      </c>
      <c r="K30" s="20" t="s">
        <v>2685</v>
      </c>
      <c r="L30" s="23" t="str">
        <f>HYPERLINK("http://slimages.macys.com/is/image/MCY/12908316 ")</f>
        <v xml:space="preserve">http://slimages.macys.com/is/image/MCY/12908316 </v>
      </c>
    </row>
    <row r="31" spans="1:12" ht="48" x14ac:dyDescent="0.25">
      <c r="A31" s="19" t="s">
        <v>2686</v>
      </c>
      <c r="B31" s="20" t="s">
        <v>2687</v>
      </c>
      <c r="C31" s="21">
        <v>1</v>
      </c>
      <c r="D31" s="22">
        <v>39.99</v>
      </c>
      <c r="E31" s="21" t="s">
        <v>2688</v>
      </c>
      <c r="F31" s="20" t="s">
        <v>349</v>
      </c>
      <c r="G31" s="19"/>
      <c r="H31" s="20" t="s">
        <v>739</v>
      </c>
      <c r="I31" s="20" t="s">
        <v>1561</v>
      </c>
      <c r="J31" s="20" t="s">
        <v>20</v>
      </c>
      <c r="K31" s="20" t="s">
        <v>2689</v>
      </c>
      <c r="L31" s="23" t="str">
        <f>HYPERLINK("http://slimages.macys.com/is/image/MCY/9144378 ")</f>
        <v xml:space="preserve">http://slimages.macys.com/is/image/MCY/9144378 </v>
      </c>
    </row>
    <row r="32" spans="1:12" ht="36" x14ac:dyDescent="0.25">
      <c r="A32" s="19" t="s">
        <v>2690</v>
      </c>
      <c r="B32" s="20" t="s">
        <v>2691</v>
      </c>
      <c r="C32" s="21">
        <v>1</v>
      </c>
      <c r="D32" s="22">
        <v>44.99</v>
      </c>
      <c r="E32" s="21" t="s">
        <v>2692</v>
      </c>
      <c r="F32" s="20" t="s">
        <v>394</v>
      </c>
      <c r="G32" s="19" t="s">
        <v>2693</v>
      </c>
      <c r="H32" s="20" t="s">
        <v>745</v>
      </c>
      <c r="I32" s="20" t="s">
        <v>2694</v>
      </c>
      <c r="J32" s="20" t="s">
        <v>20</v>
      </c>
      <c r="K32" s="20" t="s">
        <v>396</v>
      </c>
      <c r="L32" s="23" t="str">
        <f>HYPERLINK("http://slimages.macys.com/is/image/MCY/3736710 ")</f>
        <v xml:space="preserve">http://slimages.macys.com/is/image/MCY/3736710 </v>
      </c>
    </row>
    <row r="33" spans="1:12" ht="48" x14ac:dyDescent="0.25">
      <c r="A33" s="19" t="s">
        <v>2695</v>
      </c>
      <c r="B33" s="20" t="s">
        <v>2696</v>
      </c>
      <c r="C33" s="21">
        <v>1</v>
      </c>
      <c r="D33" s="22">
        <v>34.99</v>
      </c>
      <c r="E33" s="21" t="s">
        <v>2697</v>
      </c>
      <c r="F33" s="20" t="s">
        <v>2055</v>
      </c>
      <c r="G33" s="19"/>
      <c r="H33" s="20" t="s">
        <v>1673</v>
      </c>
      <c r="I33" s="20" t="s">
        <v>1674</v>
      </c>
      <c r="J33" s="20" t="s">
        <v>20</v>
      </c>
      <c r="K33" s="20" t="s">
        <v>2698</v>
      </c>
      <c r="L33" s="23" t="str">
        <f>HYPERLINK("http://slimages.macys.com/is/image/MCY/10035788 ")</f>
        <v xml:space="preserve">http://slimages.macys.com/is/image/MCY/10035788 </v>
      </c>
    </row>
    <row r="34" spans="1:12" ht="36" x14ac:dyDescent="0.25">
      <c r="A34" s="19" t="s">
        <v>2699</v>
      </c>
      <c r="B34" s="20" t="s">
        <v>2700</v>
      </c>
      <c r="C34" s="21">
        <v>1</v>
      </c>
      <c r="D34" s="22">
        <v>24.99</v>
      </c>
      <c r="E34" s="21" t="s">
        <v>2701</v>
      </c>
      <c r="F34" s="20" t="s">
        <v>1036</v>
      </c>
      <c r="G34" s="19"/>
      <c r="H34" s="20" t="s">
        <v>772</v>
      </c>
      <c r="I34" s="20" t="s">
        <v>2523</v>
      </c>
      <c r="J34" s="20" t="s">
        <v>20</v>
      </c>
      <c r="K34" s="20"/>
      <c r="L34" s="23" t="str">
        <f>HYPERLINK("http://slimages.macys.com/is/image/MCY/8699931 ")</f>
        <v xml:space="preserve">http://slimages.macys.com/is/image/MCY/8699931 </v>
      </c>
    </row>
    <row r="35" spans="1:12" ht="36" x14ac:dyDescent="0.25">
      <c r="A35" s="19" t="s">
        <v>2702</v>
      </c>
      <c r="B35" s="20" t="s">
        <v>2703</v>
      </c>
      <c r="C35" s="21">
        <v>1</v>
      </c>
      <c r="D35" s="22">
        <v>48.99</v>
      </c>
      <c r="E35" s="21" t="s">
        <v>2704</v>
      </c>
      <c r="F35" s="20" t="s">
        <v>977</v>
      </c>
      <c r="G35" s="19" t="s">
        <v>17</v>
      </c>
      <c r="H35" s="20" t="s">
        <v>745</v>
      </c>
      <c r="I35" s="20" t="s">
        <v>2538</v>
      </c>
      <c r="J35" s="20" t="s">
        <v>20</v>
      </c>
      <c r="K35" s="20" t="s">
        <v>798</v>
      </c>
      <c r="L35" s="23" t="str">
        <f>HYPERLINK("http://slimages.macys.com/is/image/MCY/10808685 ")</f>
        <v xml:space="preserve">http://slimages.macys.com/is/image/MCY/10808685 </v>
      </c>
    </row>
    <row r="36" spans="1:12" ht="36" x14ac:dyDescent="0.25">
      <c r="A36" s="19" t="s">
        <v>2705</v>
      </c>
      <c r="B36" s="20" t="s">
        <v>2706</v>
      </c>
      <c r="C36" s="21">
        <v>1</v>
      </c>
      <c r="D36" s="22">
        <v>29.99</v>
      </c>
      <c r="E36" s="21">
        <v>78216</v>
      </c>
      <c r="F36" s="20" t="s">
        <v>436</v>
      </c>
      <c r="G36" s="19"/>
      <c r="H36" s="20" t="s">
        <v>712</v>
      </c>
      <c r="I36" s="20" t="s">
        <v>1058</v>
      </c>
      <c r="J36" s="20" t="s">
        <v>20</v>
      </c>
      <c r="K36" s="20" t="s">
        <v>2707</v>
      </c>
      <c r="L36" s="23" t="str">
        <f>HYPERLINK("http://slimages.macys.com/is/image/MCY/8842840 ")</f>
        <v xml:space="preserve">http://slimages.macys.com/is/image/MCY/8842840 </v>
      </c>
    </row>
    <row r="37" spans="1:12" ht="24" x14ac:dyDescent="0.25">
      <c r="A37" s="19" t="s">
        <v>2708</v>
      </c>
      <c r="B37" s="20" t="s">
        <v>2709</v>
      </c>
      <c r="C37" s="21">
        <v>1</v>
      </c>
      <c r="D37" s="22">
        <v>25.99</v>
      </c>
      <c r="E37" s="21" t="s">
        <v>2710</v>
      </c>
      <c r="F37" s="20" t="s">
        <v>977</v>
      </c>
      <c r="G37" s="19"/>
      <c r="H37" s="20" t="s">
        <v>2711</v>
      </c>
      <c r="I37" s="20" t="s">
        <v>2712</v>
      </c>
      <c r="J37" s="20" t="s">
        <v>110</v>
      </c>
      <c r="K37" s="20" t="s">
        <v>2713</v>
      </c>
      <c r="L37" s="23" t="str">
        <f>HYPERLINK("http://slimages.macys.com/is/image/MCY/9898874 ")</f>
        <v xml:space="preserve">http://slimages.macys.com/is/image/MCY/9898874 </v>
      </c>
    </row>
    <row r="38" spans="1:12" ht="36" x14ac:dyDescent="0.25">
      <c r="A38" s="19" t="s">
        <v>2714</v>
      </c>
      <c r="B38" s="20" t="s">
        <v>2715</v>
      </c>
      <c r="C38" s="21">
        <v>1</v>
      </c>
      <c r="D38" s="22">
        <v>24.99</v>
      </c>
      <c r="E38" s="21" t="s">
        <v>2716</v>
      </c>
      <c r="F38" s="20" t="s">
        <v>850</v>
      </c>
      <c r="G38" s="19" t="s">
        <v>2717</v>
      </c>
      <c r="H38" s="20" t="s">
        <v>718</v>
      </c>
      <c r="I38" s="20" t="s">
        <v>1092</v>
      </c>
      <c r="J38" s="20" t="s">
        <v>20</v>
      </c>
      <c r="K38" s="20" t="s">
        <v>2718</v>
      </c>
      <c r="L38" s="23" t="str">
        <f>HYPERLINK("http://slimages.macys.com/is/image/MCY/10523452 ")</f>
        <v xml:space="preserve">http://slimages.macys.com/is/image/MCY/10523452 </v>
      </c>
    </row>
    <row r="39" spans="1:12" ht="24" x14ac:dyDescent="0.25">
      <c r="A39" s="19" t="s">
        <v>2719</v>
      </c>
      <c r="B39" s="20" t="s">
        <v>2720</v>
      </c>
      <c r="C39" s="21">
        <v>2</v>
      </c>
      <c r="D39" s="22">
        <v>49.98</v>
      </c>
      <c r="E39" s="21">
        <v>78618</v>
      </c>
      <c r="F39" s="20" t="s">
        <v>744</v>
      </c>
      <c r="G39" s="19" t="s">
        <v>899</v>
      </c>
      <c r="H39" s="20" t="s">
        <v>745</v>
      </c>
      <c r="I39" s="20" t="s">
        <v>1058</v>
      </c>
      <c r="J39" s="20" t="s">
        <v>20</v>
      </c>
      <c r="K39" s="20" t="s">
        <v>2721</v>
      </c>
      <c r="L39" s="23" t="str">
        <f>HYPERLINK("http://slimages.macys.com/is/image/MCY/9359339 ")</f>
        <v xml:space="preserve">http://slimages.macys.com/is/image/MCY/9359339 </v>
      </c>
    </row>
    <row r="40" spans="1:12" ht="36" x14ac:dyDescent="0.25">
      <c r="A40" s="19" t="s">
        <v>2722</v>
      </c>
      <c r="B40" s="20" t="s">
        <v>2723</v>
      </c>
      <c r="C40" s="21">
        <v>1</v>
      </c>
      <c r="D40" s="22">
        <v>16.989999999999998</v>
      </c>
      <c r="E40" s="21">
        <v>1003811600</v>
      </c>
      <c r="F40" s="20" t="s">
        <v>89</v>
      </c>
      <c r="G40" s="19" t="s">
        <v>954</v>
      </c>
      <c r="H40" s="20" t="s">
        <v>916</v>
      </c>
      <c r="I40" s="20" t="s">
        <v>1004</v>
      </c>
      <c r="J40" s="20" t="s">
        <v>20</v>
      </c>
      <c r="K40" s="20" t="s">
        <v>798</v>
      </c>
      <c r="L40" s="23" t="str">
        <f>HYPERLINK("http://slimages.macys.com/is/image/MCY/10131217 ")</f>
        <v xml:space="preserve">http://slimages.macys.com/is/image/MCY/10131217 </v>
      </c>
    </row>
    <row r="41" spans="1:12" ht="36" x14ac:dyDescent="0.25">
      <c r="A41" s="19" t="s">
        <v>2724</v>
      </c>
      <c r="B41" s="20" t="s">
        <v>2725</v>
      </c>
      <c r="C41" s="21">
        <v>1</v>
      </c>
      <c r="D41" s="22">
        <v>19.989999999999998</v>
      </c>
      <c r="E41" s="21" t="s">
        <v>2726</v>
      </c>
      <c r="F41" s="20" t="s">
        <v>1036</v>
      </c>
      <c r="G41" s="19"/>
      <c r="H41" s="20" t="s">
        <v>1125</v>
      </c>
      <c r="I41" s="20" t="s">
        <v>2727</v>
      </c>
      <c r="J41" s="20" t="s">
        <v>20</v>
      </c>
      <c r="K41" s="20" t="s">
        <v>2728</v>
      </c>
      <c r="L41" s="23" t="str">
        <f>HYPERLINK("http://slimages.macys.com/is/image/MCY/9844310 ")</f>
        <v xml:space="preserve">http://slimages.macys.com/is/image/MCY/9844310 </v>
      </c>
    </row>
    <row r="42" spans="1:12" ht="36" x14ac:dyDescent="0.25">
      <c r="A42" s="19" t="s">
        <v>2729</v>
      </c>
      <c r="B42" s="20" t="s">
        <v>2730</v>
      </c>
      <c r="C42" s="21">
        <v>1</v>
      </c>
      <c r="D42" s="22">
        <v>34.99</v>
      </c>
      <c r="E42" s="21" t="s">
        <v>2731</v>
      </c>
      <c r="F42" s="20" t="s">
        <v>2430</v>
      </c>
      <c r="G42" s="19"/>
      <c r="H42" s="20" t="s">
        <v>1157</v>
      </c>
      <c r="I42" s="20" t="s">
        <v>1158</v>
      </c>
      <c r="J42" s="20" t="s">
        <v>20</v>
      </c>
      <c r="K42" s="20" t="s">
        <v>2732</v>
      </c>
      <c r="L42" s="23" t="str">
        <f>HYPERLINK("http://slimages.macys.com/is/image/MCY/3713980 ")</f>
        <v xml:space="preserve">http://slimages.macys.com/is/image/MCY/3713980 </v>
      </c>
    </row>
    <row r="43" spans="1:12" ht="36" x14ac:dyDescent="0.25">
      <c r="A43" s="19" t="s">
        <v>2733</v>
      </c>
      <c r="B43" s="20" t="s">
        <v>2734</v>
      </c>
      <c r="C43" s="21">
        <v>2</v>
      </c>
      <c r="D43" s="22">
        <v>69.98</v>
      </c>
      <c r="E43" s="21" t="s">
        <v>2735</v>
      </c>
      <c r="F43" s="20" t="s">
        <v>2554</v>
      </c>
      <c r="G43" s="19"/>
      <c r="H43" s="20" t="s">
        <v>1157</v>
      </c>
      <c r="I43" s="20" t="s">
        <v>1158</v>
      </c>
      <c r="J43" s="20" t="s">
        <v>20</v>
      </c>
      <c r="K43" s="20" t="s">
        <v>2732</v>
      </c>
      <c r="L43" s="23" t="str">
        <f>HYPERLINK("http://slimages.macys.com/is/image/MCY/3713980 ")</f>
        <v xml:space="preserve">http://slimages.macys.com/is/image/MCY/3713980 </v>
      </c>
    </row>
    <row r="44" spans="1:12" ht="36" x14ac:dyDescent="0.25">
      <c r="A44" s="19" t="s">
        <v>2736</v>
      </c>
      <c r="B44" s="20" t="s">
        <v>2737</v>
      </c>
      <c r="C44" s="21">
        <v>3</v>
      </c>
      <c r="D44" s="22">
        <v>53.97</v>
      </c>
      <c r="E44" s="21" t="s">
        <v>2738</v>
      </c>
      <c r="F44" s="20" t="s">
        <v>755</v>
      </c>
      <c r="G44" s="19"/>
      <c r="H44" s="20" t="s">
        <v>745</v>
      </c>
      <c r="I44" s="20" t="s">
        <v>832</v>
      </c>
      <c r="J44" s="20" t="s">
        <v>20</v>
      </c>
      <c r="K44" s="20"/>
      <c r="L44" s="23" t="str">
        <f>HYPERLINK("http://slimages.macys.com/is/image/MCY/9024256 ")</f>
        <v xml:space="preserve">http://slimages.macys.com/is/image/MCY/9024256 </v>
      </c>
    </row>
    <row r="45" spans="1:12" ht="36" x14ac:dyDescent="0.25">
      <c r="A45" s="19" t="s">
        <v>2739</v>
      </c>
      <c r="B45" s="20" t="s">
        <v>2740</v>
      </c>
      <c r="C45" s="21">
        <v>1</v>
      </c>
      <c r="D45" s="22">
        <v>19.989999999999998</v>
      </c>
      <c r="E45" s="21" t="s">
        <v>2741</v>
      </c>
      <c r="F45" s="20" t="s">
        <v>54</v>
      </c>
      <c r="G45" s="19"/>
      <c r="H45" s="20" t="s">
        <v>745</v>
      </c>
      <c r="I45" s="20" t="s">
        <v>2742</v>
      </c>
      <c r="J45" s="20" t="s">
        <v>20</v>
      </c>
      <c r="K45" s="20" t="s">
        <v>396</v>
      </c>
      <c r="L45" s="23" t="str">
        <f>HYPERLINK("http://slimages.macys.com/is/image/MCY/3135970 ")</f>
        <v xml:space="preserve">http://slimages.macys.com/is/image/MCY/3135970 </v>
      </c>
    </row>
    <row r="46" spans="1:12" ht="36" x14ac:dyDescent="0.25">
      <c r="A46" s="19" t="s">
        <v>2743</v>
      </c>
      <c r="B46" s="20" t="s">
        <v>2744</v>
      </c>
      <c r="C46" s="21">
        <v>1</v>
      </c>
      <c r="D46" s="22">
        <v>11.99</v>
      </c>
      <c r="E46" s="21" t="s">
        <v>2745</v>
      </c>
      <c r="F46" s="20" t="s">
        <v>744</v>
      </c>
      <c r="G46" s="19"/>
      <c r="H46" s="20" t="s">
        <v>745</v>
      </c>
      <c r="I46" s="20" t="s">
        <v>2742</v>
      </c>
      <c r="J46" s="20" t="s">
        <v>20</v>
      </c>
      <c r="K46" s="20" t="s">
        <v>396</v>
      </c>
      <c r="L46" s="23" t="str">
        <f>HYPERLINK("http://slimages.macys.com/is/image/MCY/935272 ")</f>
        <v xml:space="preserve">http://slimages.macys.com/is/image/MCY/935272 </v>
      </c>
    </row>
    <row r="47" spans="1:12" ht="36" x14ac:dyDescent="0.25">
      <c r="A47" s="19" t="s">
        <v>2746</v>
      </c>
      <c r="B47" s="20" t="s">
        <v>2747</v>
      </c>
      <c r="C47" s="21">
        <v>2</v>
      </c>
      <c r="D47" s="22">
        <v>23.98</v>
      </c>
      <c r="E47" s="21" t="s">
        <v>2748</v>
      </c>
      <c r="F47" s="20" t="s">
        <v>89</v>
      </c>
      <c r="G47" s="19"/>
      <c r="H47" s="20" t="s">
        <v>745</v>
      </c>
      <c r="I47" s="20" t="s">
        <v>2742</v>
      </c>
      <c r="J47" s="20" t="s">
        <v>20</v>
      </c>
      <c r="K47" s="20" t="s">
        <v>396</v>
      </c>
      <c r="L47" s="23" t="str">
        <f>HYPERLINK("http://slimages.macys.com/is/image/MCY/2075013 ")</f>
        <v xml:space="preserve">http://slimages.macys.com/is/image/MCY/2075013 </v>
      </c>
    </row>
    <row r="48" spans="1:12" ht="24" x14ac:dyDescent="0.25">
      <c r="A48" s="19" t="s">
        <v>2749</v>
      </c>
      <c r="B48" s="20" t="s">
        <v>2750</v>
      </c>
      <c r="C48" s="21">
        <v>1</v>
      </c>
      <c r="D48" s="22">
        <v>7.99</v>
      </c>
      <c r="E48" s="21">
        <v>878305</v>
      </c>
      <c r="F48" s="20" t="s">
        <v>691</v>
      </c>
      <c r="G48" s="19" t="s">
        <v>17</v>
      </c>
      <c r="H48" s="20" t="s">
        <v>940</v>
      </c>
      <c r="I48" s="20" t="s">
        <v>2403</v>
      </c>
      <c r="J48" s="20" t="s">
        <v>20</v>
      </c>
      <c r="K48" s="20" t="s">
        <v>1652</v>
      </c>
      <c r="L48" s="23" t="str">
        <f>HYPERLINK("http://slimages.macys.com/is/image/MCY/11524674 ")</f>
        <v xml:space="preserve">http://slimages.macys.com/is/image/MCY/11524674 </v>
      </c>
    </row>
    <row r="49" spans="1:12" ht="36" x14ac:dyDescent="0.25">
      <c r="A49" s="19" t="s">
        <v>2751</v>
      </c>
      <c r="B49" s="20" t="s">
        <v>2752</v>
      </c>
      <c r="C49" s="21">
        <v>1</v>
      </c>
      <c r="D49" s="22">
        <v>12.99</v>
      </c>
      <c r="E49" s="21">
        <v>1007486800</v>
      </c>
      <c r="F49" s="20" t="s">
        <v>89</v>
      </c>
      <c r="G49" s="19" t="s">
        <v>1012</v>
      </c>
      <c r="H49" s="20" t="s">
        <v>916</v>
      </c>
      <c r="I49" s="20" t="s">
        <v>2475</v>
      </c>
      <c r="J49" s="20" t="s">
        <v>20</v>
      </c>
      <c r="K49" s="20" t="s">
        <v>1652</v>
      </c>
      <c r="L49" s="23" t="str">
        <f>HYPERLINK("http://slimages.macys.com/is/image/MCY/13785795 ")</f>
        <v xml:space="preserve">http://slimages.macys.com/is/image/MCY/13785795 </v>
      </c>
    </row>
    <row r="50" spans="1:12" ht="36" x14ac:dyDescent="0.25">
      <c r="A50" s="19" t="s">
        <v>2753</v>
      </c>
      <c r="B50" s="20" t="s">
        <v>2754</v>
      </c>
      <c r="C50" s="21">
        <v>1</v>
      </c>
      <c r="D50" s="22">
        <v>9.99</v>
      </c>
      <c r="E50" s="21" t="s">
        <v>2755</v>
      </c>
      <c r="F50" s="20" t="s">
        <v>755</v>
      </c>
      <c r="G50" s="19"/>
      <c r="H50" s="20" t="s">
        <v>745</v>
      </c>
      <c r="I50" s="20" t="s">
        <v>2742</v>
      </c>
      <c r="J50" s="20" t="s">
        <v>20</v>
      </c>
      <c r="K50" s="20" t="s">
        <v>396</v>
      </c>
      <c r="L50" s="23" t="str">
        <f>HYPERLINK("http://slimages.macys.com/is/image/MCY/2075013 ")</f>
        <v xml:space="preserve">http://slimages.macys.com/is/image/MCY/2075013 </v>
      </c>
    </row>
    <row r="51" spans="1:12" ht="36" x14ac:dyDescent="0.25">
      <c r="A51" s="19" t="s">
        <v>2756</v>
      </c>
      <c r="B51" s="20" t="s">
        <v>2757</v>
      </c>
      <c r="C51" s="21">
        <v>2</v>
      </c>
      <c r="D51" s="22">
        <v>19.98</v>
      </c>
      <c r="E51" s="21" t="s">
        <v>2758</v>
      </c>
      <c r="F51" s="20" t="s">
        <v>78</v>
      </c>
      <c r="G51" s="19"/>
      <c r="H51" s="20" t="s">
        <v>745</v>
      </c>
      <c r="I51" s="20" t="s">
        <v>2742</v>
      </c>
      <c r="J51" s="20" t="s">
        <v>20</v>
      </c>
      <c r="K51" s="20" t="s">
        <v>396</v>
      </c>
      <c r="L51" s="23" t="str">
        <f>HYPERLINK("http://slimages.macys.com/is/image/MCY/2075013 ")</f>
        <v xml:space="preserve">http://slimages.macys.com/is/image/MCY/2075013 </v>
      </c>
    </row>
    <row r="52" spans="1:12" ht="24" x14ac:dyDescent="0.25">
      <c r="A52" s="19" t="s">
        <v>2759</v>
      </c>
      <c r="B52" s="20" t="s">
        <v>2760</v>
      </c>
      <c r="C52" s="21">
        <v>1</v>
      </c>
      <c r="D52" s="22">
        <v>7.99</v>
      </c>
      <c r="E52" s="21" t="s">
        <v>2761</v>
      </c>
      <c r="F52" s="20" t="s">
        <v>359</v>
      </c>
      <c r="G52" s="19" t="s">
        <v>1012</v>
      </c>
      <c r="H52" s="20" t="s">
        <v>916</v>
      </c>
      <c r="I52" s="20" t="s">
        <v>1004</v>
      </c>
      <c r="J52" s="20" t="s">
        <v>20</v>
      </c>
      <c r="K52" s="20" t="s">
        <v>330</v>
      </c>
      <c r="L52" s="23" t="str">
        <f>HYPERLINK("http://slimages.macys.com/is/image/MCY/9263870 ")</f>
        <v xml:space="preserve">http://slimages.macys.com/is/image/MCY/9263870 </v>
      </c>
    </row>
    <row r="53" spans="1:12" ht="36" x14ac:dyDescent="0.25">
      <c r="A53" s="19" t="s">
        <v>2762</v>
      </c>
      <c r="B53" s="20" t="s">
        <v>2763</v>
      </c>
      <c r="C53" s="21">
        <v>3</v>
      </c>
      <c r="D53" s="22">
        <v>20.97</v>
      </c>
      <c r="E53" s="21" t="s">
        <v>2764</v>
      </c>
      <c r="F53" s="20" t="s">
        <v>674</v>
      </c>
      <c r="G53" s="19" t="s">
        <v>1012</v>
      </c>
      <c r="H53" s="20" t="s">
        <v>940</v>
      </c>
      <c r="I53" s="20" t="s">
        <v>2765</v>
      </c>
      <c r="J53" s="20" t="s">
        <v>20</v>
      </c>
      <c r="K53" s="20" t="s">
        <v>798</v>
      </c>
      <c r="L53" s="23" t="str">
        <f>HYPERLINK("http://slimages.macys.com/is/image/MCY/10156122 ")</f>
        <v xml:space="preserve">http://slimages.macys.com/is/image/MCY/10156122 </v>
      </c>
    </row>
    <row r="54" spans="1:12" ht="24" x14ac:dyDescent="0.25">
      <c r="A54" s="19" t="s">
        <v>2766</v>
      </c>
      <c r="B54" s="20" t="s">
        <v>2767</v>
      </c>
      <c r="C54" s="21">
        <v>2</v>
      </c>
      <c r="D54" s="22">
        <v>11.98</v>
      </c>
      <c r="E54" s="21" t="s">
        <v>2768</v>
      </c>
      <c r="F54" s="20" t="s">
        <v>359</v>
      </c>
      <c r="G54" s="19" t="s">
        <v>1179</v>
      </c>
      <c r="H54" s="20" t="s">
        <v>916</v>
      </c>
      <c r="I54" s="20" t="s">
        <v>1004</v>
      </c>
      <c r="J54" s="20" t="s">
        <v>20</v>
      </c>
      <c r="K54" s="20" t="s">
        <v>330</v>
      </c>
      <c r="L54" s="23" t="str">
        <f>HYPERLINK("http://slimages.macys.com/is/image/MCY/9263870 ")</f>
        <v xml:space="preserve">http://slimages.macys.com/is/image/MCY/9263870 </v>
      </c>
    </row>
    <row r="55" spans="1:12" ht="36" x14ac:dyDescent="0.25">
      <c r="A55" s="19" t="s">
        <v>2769</v>
      </c>
      <c r="B55" s="20" t="s">
        <v>2770</v>
      </c>
      <c r="C55" s="21">
        <v>1</v>
      </c>
      <c r="D55" s="22">
        <v>4.99</v>
      </c>
      <c r="E55" s="21" t="s">
        <v>2771</v>
      </c>
      <c r="F55" s="20" t="s">
        <v>555</v>
      </c>
      <c r="G55" s="19" t="s">
        <v>2049</v>
      </c>
      <c r="H55" s="20" t="s">
        <v>940</v>
      </c>
      <c r="I55" s="20" t="s">
        <v>746</v>
      </c>
      <c r="J55" s="20" t="s">
        <v>20</v>
      </c>
      <c r="K55" s="20" t="s">
        <v>330</v>
      </c>
      <c r="L55" s="23" t="str">
        <f>HYPERLINK("http://slimages.macys.com/is/image/MCY/10379869 ")</f>
        <v xml:space="preserve">http://slimages.macys.com/is/image/MCY/10379869 </v>
      </c>
    </row>
    <row r="56" spans="1:12" ht="36" x14ac:dyDescent="0.25">
      <c r="A56" s="19" t="s">
        <v>2772</v>
      </c>
      <c r="B56" s="20" t="s">
        <v>2773</v>
      </c>
      <c r="C56" s="21">
        <v>10</v>
      </c>
      <c r="D56" s="22">
        <v>79.900000000000006</v>
      </c>
      <c r="E56" s="21" t="s">
        <v>2774</v>
      </c>
      <c r="F56" s="20" t="s">
        <v>1124</v>
      </c>
      <c r="G56" s="19" t="s">
        <v>1179</v>
      </c>
      <c r="H56" s="20" t="s">
        <v>916</v>
      </c>
      <c r="I56" s="20" t="s">
        <v>917</v>
      </c>
      <c r="J56" s="20" t="s">
        <v>20</v>
      </c>
      <c r="K56" s="20" t="s">
        <v>330</v>
      </c>
      <c r="L56" s="23" t="str">
        <f>HYPERLINK("http://slimages.macys.com/is/image/MCY/3639461 ")</f>
        <v xml:space="preserve">http://slimages.macys.com/is/image/MCY/3639461 </v>
      </c>
    </row>
    <row r="57" spans="1:12" ht="24" x14ac:dyDescent="0.25">
      <c r="A57" s="19" t="s">
        <v>2775</v>
      </c>
      <c r="B57" s="20" t="s">
        <v>2776</v>
      </c>
      <c r="C57" s="21">
        <v>1</v>
      </c>
      <c r="D57" s="22">
        <v>4.99</v>
      </c>
      <c r="E57" s="21" t="s">
        <v>2777</v>
      </c>
      <c r="F57" s="20" t="s">
        <v>394</v>
      </c>
      <c r="G57" s="19" t="s">
        <v>1012</v>
      </c>
      <c r="H57" s="20" t="s">
        <v>940</v>
      </c>
      <c r="I57" s="20" t="s">
        <v>2778</v>
      </c>
      <c r="J57" s="20" t="s">
        <v>20</v>
      </c>
      <c r="K57" s="20" t="s">
        <v>362</v>
      </c>
      <c r="L57" s="23" t="str">
        <f>HYPERLINK("http://slimages.macys.com/is/image/MCY/3635138 ")</f>
        <v xml:space="preserve">http://slimages.macys.com/is/image/MCY/3635138 </v>
      </c>
    </row>
    <row r="58" spans="1:12" ht="24" x14ac:dyDescent="0.25">
      <c r="A58" s="19" t="s">
        <v>2779</v>
      </c>
      <c r="B58" s="20" t="s">
        <v>2780</v>
      </c>
      <c r="C58" s="21">
        <v>1</v>
      </c>
      <c r="D58" s="22">
        <v>4.99</v>
      </c>
      <c r="E58" s="21" t="s">
        <v>2777</v>
      </c>
      <c r="F58" s="20" t="s">
        <v>638</v>
      </c>
      <c r="G58" s="19" t="s">
        <v>1012</v>
      </c>
      <c r="H58" s="20" t="s">
        <v>940</v>
      </c>
      <c r="I58" s="20" t="s">
        <v>2778</v>
      </c>
      <c r="J58" s="20" t="s">
        <v>20</v>
      </c>
      <c r="K58" s="20" t="s">
        <v>362</v>
      </c>
      <c r="L58" s="23" t="str">
        <f>HYPERLINK("http://slimages.macys.com/is/image/MCY/3635138 ")</f>
        <v xml:space="preserve">http://slimages.macys.com/is/image/MCY/3635138 </v>
      </c>
    </row>
    <row r="59" spans="1:12" ht="24" x14ac:dyDescent="0.25">
      <c r="A59" s="19" t="s">
        <v>2781</v>
      </c>
      <c r="B59" s="20" t="s">
        <v>2782</v>
      </c>
      <c r="C59" s="21">
        <v>1</v>
      </c>
      <c r="D59" s="22">
        <v>89.99</v>
      </c>
      <c r="E59" s="21" t="s">
        <v>2783</v>
      </c>
      <c r="F59" s="20" t="s">
        <v>600</v>
      </c>
      <c r="G59" s="19"/>
      <c r="H59" s="20" t="s">
        <v>712</v>
      </c>
      <c r="I59" s="20" t="s">
        <v>1576</v>
      </c>
      <c r="J59" s="20"/>
      <c r="K59" s="20"/>
      <c r="L59" s="23"/>
    </row>
    <row r="60" spans="1:12" ht="24" x14ac:dyDescent="0.25">
      <c r="A60" s="19" t="s">
        <v>2784</v>
      </c>
      <c r="B60" s="20" t="s">
        <v>2785</v>
      </c>
      <c r="C60" s="21">
        <v>1</v>
      </c>
      <c r="D60" s="22">
        <v>79.989999999999995</v>
      </c>
      <c r="E60" s="21" t="s">
        <v>2786</v>
      </c>
      <c r="F60" s="20" t="s">
        <v>600</v>
      </c>
      <c r="G60" s="19"/>
      <c r="H60" s="20" t="s">
        <v>712</v>
      </c>
      <c r="I60" s="20" t="s">
        <v>1576</v>
      </c>
      <c r="J60" s="20"/>
      <c r="K60" s="20"/>
      <c r="L60" s="23"/>
    </row>
    <row r="61" spans="1:12" ht="24" x14ac:dyDescent="0.25">
      <c r="A61" s="19" t="s">
        <v>1019</v>
      </c>
      <c r="B61" s="20" t="s">
        <v>694</v>
      </c>
      <c r="C61" s="21">
        <v>8</v>
      </c>
      <c r="D61" s="22">
        <v>320</v>
      </c>
      <c r="E61" s="21"/>
      <c r="F61" s="20" t="s">
        <v>16</v>
      </c>
      <c r="G61" s="19" t="s">
        <v>17</v>
      </c>
      <c r="H61" s="20" t="s">
        <v>695</v>
      </c>
      <c r="I61" s="20" t="s">
        <v>696</v>
      </c>
      <c r="J61" s="20"/>
      <c r="K61" s="20"/>
      <c r="L61" s="23"/>
    </row>
    <row r="62" spans="1:12" ht="24" x14ac:dyDescent="0.25">
      <c r="A62" s="19" t="s">
        <v>2787</v>
      </c>
      <c r="B62" s="20" t="s">
        <v>2788</v>
      </c>
      <c r="C62" s="21">
        <v>1</v>
      </c>
      <c r="D62" s="22">
        <v>37</v>
      </c>
      <c r="E62" s="21"/>
      <c r="F62" s="20" t="s">
        <v>16</v>
      </c>
      <c r="G62" s="19" t="s">
        <v>17</v>
      </c>
      <c r="H62" s="20" t="s">
        <v>695</v>
      </c>
      <c r="I62" s="20" t="s">
        <v>696</v>
      </c>
      <c r="J62" s="20"/>
      <c r="K62" s="20"/>
      <c r="L62" s="23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5"/>
  <sheetViews>
    <sheetView workbookViewId="0">
      <selection activeCell="G7" sqref="G7"/>
    </sheetView>
  </sheetViews>
  <sheetFormatPr defaultRowHeight="15" x14ac:dyDescent="0.25"/>
  <cols>
    <col min="1" max="1" width="13.140625" style="24" bestFit="1" customWidth="1"/>
    <col min="2" max="2" width="25.85546875" style="24" bestFit="1" customWidth="1"/>
    <col min="3" max="3" width="12.42578125" style="24" bestFit="1" customWidth="1"/>
    <col min="4" max="4" width="8.7109375" style="24" bestFit="1" customWidth="1"/>
    <col min="5" max="5" width="17.28515625" style="24" bestFit="1" customWidth="1"/>
    <col min="6" max="6" width="11.42578125" style="24" customWidth="1"/>
    <col min="7" max="7" width="10.7109375" style="24" bestFit="1" customWidth="1"/>
    <col min="8" max="8" width="12.140625" style="24" customWidth="1"/>
    <col min="9" max="9" width="35.5703125" style="24" bestFit="1" customWidth="1"/>
    <col min="10" max="10" width="19.85546875" style="24" bestFit="1" customWidth="1"/>
    <col min="11" max="11" width="35.7109375" style="24" bestFit="1" customWidth="1"/>
    <col min="12" max="12" width="25.42578125" style="24" customWidth="1"/>
    <col min="13" max="16384" width="9.140625" style="24"/>
  </cols>
  <sheetData>
    <row r="1" spans="1:12" ht="36" x14ac:dyDescent="0.25">
      <c r="A1" s="18" t="s">
        <v>2</v>
      </c>
      <c r="B1" s="18" t="s">
        <v>3</v>
      </c>
      <c r="C1" s="18" t="s">
        <v>4</v>
      </c>
      <c r="D1" s="18" t="s">
        <v>5</v>
      </c>
      <c r="E1" s="18" t="s">
        <v>6</v>
      </c>
      <c r="F1" s="18" t="s">
        <v>7</v>
      </c>
      <c r="G1" s="18" t="s">
        <v>8</v>
      </c>
      <c r="H1" s="18" t="s">
        <v>9</v>
      </c>
      <c r="I1" s="18" t="s">
        <v>10</v>
      </c>
      <c r="J1" s="18" t="s">
        <v>11</v>
      </c>
      <c r="K1" s="18" t="s">
        <v>12</v>
      </c>
      <c r="L1" s="18" t="s">
        <v>13</v>
      </c>
    </row>
    <row r="2" spans="1:12" ht="39.950000000000003" customHeight="1" x14ac:dyDescent="0.25">
      <c r="A2" s="19" t="s">
        <v>2789</v>
      </c>
      <c r="B2" s="20" t="s">
        <v>2790</v>
      </c>
      <c r="C2" s="21">
        <v>1</v>
      </c>
      <c r="D2" s="22">
        <v>349.99</v>
      </c>
      <c r="E2" s="21" t="s">
        <v>2791</v>
      </c>
      <c r="F2" s="20" t="s">
        <v>525</v>
      </c>
      <c r="G2" s="19"/>
      <c r="H2" s="20" t="s">
        <v>831</v>
      </c>
      <c r="I2" s="20" t="s">
        <v>2792</v>
      </c>
      <c r="J2" s="20"/>
      <c r="K2" s="20"/>
      <c r="L2" s="23" t="str">
        <f>HYPERLINK("http://slimages.macys.com/is/image/MCY/17545080 ")</f>
        <v xml:space="preserve">http://slimages.macys.com/is/image/MCY/17545080 </v>
      </c>
    </row>
    <row r="3" spans="1:12" ht="39.950000000000003" customHeight="1" x14ac:dyDescent="0.25">
      <c r="A3" s="19" t="s">
        <v>2793</v>
      </c>
      <c r="B3" s="20" t="s">
        <v>2794</v>
      </c>
      <c r="C3" s="21">
        <v>1</v>
      </c>
      <c r="D3" s="22">
        <v>449.99</v>
      </c>
      <c r="E3" s="21" t="s">
        <v>2795</v>
      </c>
      <c r="F3" s="20" t="s">
        <v>483</v>
      </c>
      <c r="G3" s="19"/>
      <c r="H3" s="20" t="s">
        <v>700</v>
      </c>
      <c r="I3" s="20" t="s">
        <v>840</v>
      </c>
      <c r="J3" s="20" t="s">
        <v>20</v>
      </c>
      <c r="K3" s="20" t="s">
        <v>2796</v>
      </c>
      <c r="L3" s="23" t="str">
        <f>HYPERLINK("http://slimages.macys.com/is/image/MCY/13312314 ")</f>
        <v xml:space="preserve">http://slimages.macys.com/is/image/MCY/13312314 </v>
      </c>
    </row>
    <row r="4" spans="1:12" ht="39.950000000000003" customHeight="1" x14ac:dyDescent="0.25">
      <c r="A4" s="19" t="s">
        <v>2797</v>
      </c>
      <c r="B4" s="20" t="s">
        <v>2798</v>
      </c>
      <c r="C4" s="21">
        <v>1</v>
      </c>
      <c r="D4" s="22">
        <v>274.99</v>
      </c>
      <c r="E4" s="21" t="s">
        <v>2799</v>
      </c>
      <c r="F4" s="20" t="s">
        <v>89</v>
      </c>
      <c r="G4" s="19"/>
      <c r="H4" s="20" t="s">
        <v>1854</v>
      </c>
      <c r="I4" s="20" t="s">
        <v>1066</v>
      </c>
      <c r="J4" s="20" t="s">
        <v>1067</v>
      </c>
      <c r="K4" s="20" t="s">
        <v>1855</v>
      </c>
      <c r="L4" s="23" t="str">
        <f>HYPERLINK("http://slimages.macys.com/is/image/MCY/3974561 ")</f>
        <v xml:space="preserve">http://slimages.macys.com/is/image/MCY/3974561 </v>
      </c>
    </row>
    <row r="5" spans="1:12" ht="39.950000000000003" customHeight="1" x14ac:dyDescent="0.25">
      <c r="A5" s="19" t="s">
        <v>2800</v>
      </c>
      <c r="B5" s="20" t="s">
        <v>2801</v>
      </c>
      <c r="C5" s="21">
        <v>1</v>
      </c>
      <c r="D5" s="22">
        <v>249.99</v>
      </c>
      <c r="E5" s="21" t="s">
        <v>2802</v>
      </c>
      <c r="F5" s="20" t="s">
        <v>483</v>
      </c>
      <c r="G5" s="19"/>
      <c r="H5" s="20" t="s">
        <v>707</v>
      </c>
      <c r="I5" s="20" t="s">
        <v>708</v>
      </c>
      <c r="J5" s="20" t="s">
        <v>132</v>
      </c>
      <c r="K5" s="20" t="s">
        <v>2803</v>
      </c>
      <c r="L5" s="23" t="str">
        <f>HYPERLINK("http://slimages.macys.com/is/image/MCY/12354497 ")</f>
        <v xml:space="preserve">http://slimages.macys.com/is/image/MCY/12354497 </v>
      </c>
    </row>
    <row r="6" spans="1:12" ht="39.950000000000003" customHeight="1" x14ac:dyDescent="0.25">
      <c r="A6" s="19" t="s">
        <v>2804</v>
      </c>
      <c r="B6" s="20" t="s">
        <v>2805</v>
      </c>
      <c r="C6" s="21">
        <v>1</v>
      </c>
      <c r="D6" s="22">
        <v>220.99</v>
      </c>
      <c r="E6" s="21" t="s">
        <v>2806</v>
      </c>
      <c r="F6" s="20" t="s">
        <v>977</v>
      </c>
      <c r="G6" s="19"/>
      <c r="H6" s="20" t="s">
        <v>745</v>
      </c>
      <c r="I6" s="20" t="s">
        <v>1659</v>
      </c>
      <c r="J6" s="20" t="s">
        <v>20</v>
      </c>
      <c r="K6" s="20" t="s">
        <v>330</v>
      </c>
      <c r="L6" s="23" t="str">
        <f>HYPERLINK("http://slimages.macys.com/is/image/MCY/11629591 ")</f>
        <v xml:space="preserve">http://slimages.macys.com/is/image/MCY/11629591 </v>
      </c>
    </row>
    <row r="7" spans="1:12" ht="39.950000000000003" customHeight="1" x14ac:dyDescent="0.25">
      <c r="A7" s="19" t="s">
        <v>2807</v>
      </c>
      <c r="B7" s="20" t="s">
        <v>2808</v>
      </c>
      <c r="C7" s="21">
        <v>1</v>
      </c>
      <c r="D7" s="22">
        <v>119.99</v>
      </c>
      <c r="E7" s="21" t="s">
        <v>2809</v>
      </c>
      <c r="F7" s="20" t="s">
        <v>691</v>
      </c>
      <c r="G7" s="19"/>
      <c r="H7" s="20" t="s">
        <v>772</v>
      </c>
      <c r="I7" s="20" t="s">
        <v>1148</v>
      </c>
      <c r="J7" s="20" t="s">
        <v>20</v>
      </c>
      <c r="K7" s="20"/>
      <c r="L7" s="23" t="str">
        <f>HYPERLINK("http://slimages.macys.com/is/image/MCY/10015969 ")</f>
        <v xml:space="preserve">http://slimages.macys.com/is/image/MCY/10015969 </v>
      </c>
    </row>
    <row r="8" spans="1:12" ht="39.950000000000003" customHeight="1" x14ac:dyDescent="0.25">
      <c r="A8" s="19" t="s">
        <v>2810</v>
      </c>
      <c r="B8" s="20" t="s">
        <v>2811</v>
      </c>
      <c r="C8" s="21">
        <v>1</v>
      </c>
      <c r="D8" s="22">
        <v>119.99</v>
      </c>
      <c r="E8" s="21" t="s">
        <v>2812</v>
      </c>
      <c r="F8" s="20" t="s">
        <v>89</v>
      </c>
      <c r="G8" s="19"/>
      <c r="H8" s="20" t="s">
        <v>772</v>
      </c>
      <c r="I8" s="20" t="s">
        <v>1877</v>
      </c>
      <c r="J8" s="20" t="s">
        <v>20</v>
      </c>
      <c r="K8" s="20"/>
      <c r="L8" s="23" t="str">
        <f>HYPERLINK("http://slimages.macys.com/is/image/MCY/8813910 ")</f>
        <v xml:space="preserve">http://slimages.macys.com/is/image/MCY/8813910 </v>
      </c>
    </row>
    <row r="9" spans="1:12" ht="39.950000000000003" customHeight="1" x14ac:dyDescent="0.25">
      <c r="A9" s="19" t="s">
        <v>2813</v>
      </c>
      <c r="B9" s="20" t="s">
        <v>2814</v>
      </c>
      <c r="C9" s="21">
        <v>1</v>
      </c>
      <c r="D9" s="22">
        <v>99.99</v>
      </c>
      <c r="E9" s="21">
        <v>209768</v>
      </c>
      <c r="F9" s="20" t="s">
        <v>525</v>
      </c>
      <c r="G9" s="19"/>
      <c r="H9" s="20" t="s">
        <v>734</v>
      </c>
      <c r="I9" s="20" t="s">
        <v>1564</v>
      </c>
      <c r="J9" s="20" t="s">
        <v>20</v>
      </c>
      <c r="K9" s="20" t="s">
        <v>2815</v>
      </c>
      <c r="L9" s="23" t="str">
        <f>HYPERLINK("http://slimages.macys.com/is/image/MCY/2910846 ")</f>
        <v xml:space="preserve">http://slimages.macys.com/is/image/MCY/2910846 </v>
      </c>
    </row>
    <row r="10" spans="1:12" ht="39.950000000000003" customHeight="1" x14ac:dyDescent="0.25">
      <c r="A10" s="19" t="s">
        <v>2816</v>
      </c>
      <c r="B10" s="20" t="s">
        <v>2817</v>
      </c>
      <c r="C10" s="21">
        <v>1</v>
      </c>
      <c r="D10" s="22">
        <v>119.99</v>
      </c>
      <c r="E10" s="21" t="s">
        <v>2818</v>
      </c>
      <c r="F10" s="20" t="s">
        <v>89</v>
      </c>
      <c r="G10" s="19" t="s">
        <v>1804</v>
      </c>
      <c r="H10" s="20" t="s">
        <v>782</v>
      </c>
      <c r="I10" s="20" t="s">
        <v>1990</v>
      </c>
      <c r="J10" s="20"/>
      <c r="K10" s="20"/>
      <c r="L10" s="23" t="str">
        <f>HYPERLINK("http://slimages.macys.com/is/image/MCY/17546442 ")</f>
        <v xml:space="preserve">http://slimages.macys.com/is/image/MCY/17546442 </v>
      </c>
    </row>
    <row r="11" spans="1:12" ht="39.950000000000003" customHeight="1" x14ac:dyDescent="0.25">
      <c r="A11" s="19" t="s">
        <v>2819</v>
      </c>
      <c r="B11" s="20" t="s">
        <v>2820</v>
      </c>
      <c r="C11" s="21">
        <v>1</v>
      </c>
      <c r="D11" s="22">
        <v>99.99</v>
      </c>
      <c r="E11" s="21" t="s">
        <v>2821</v>
      </c>
      <c r="F11" s="20"/>
      <c r="G11" s="19"/>
      <c r="H11" s="20" t="s">
        <v>734</v>
      </c>
      <c r="I11" s="20" t="s">
        <v>1166</v>
      </c>
      <c r="J11" s="20"/>
      <c r="K11" s="20"/>
      <c r="L11" s="23" t="str">
        <f>HYPERLINK("http://slimages.macys.com/is/image/MCY/17039940 ")</f>
        <v xml:space="preserve">http://slimages.macys.com/is/image/MCY/17039940 </v>
      </c>
    </row>
    <row r="12" spans="1:12" ht="39.950000000000003" customHeight="1" x14ac:dyDescent="0.25">
      <c r="A12" s="19" t="s">
        <v>2822</v>
      </c>
      <c r="B12" s="20" t="s">
        <v>2823</v>
      </c>
      <c r="C12" s="21">
        <v>2</v>
      </c>
      <c r="D12" s="22">
        <v>299.98</v>
      </c>
      <c r="E12" s="21" t="s">
        <v>2824</v>
      </c>
      <c r="F12" s="20" t="s">
        <v>206</v>
      </c>
      <c r="G12" s="19"/>
      <c r="H12" s="20" t="s">
        <v>707</v>
      </c>
      <c r="I12" s="20" t="s">
        <v>2513</v>
      </c>
      <c r="J12" s="20" t="s">
        <v>20</v>
      </c>
      <c r="K12" s="20" t="s">
        <v>1652</v>
      </c>
      <c r="L12" s="23" t="str">
        <f>HYPERLINK("http://slimages.macys.com/is/image/MCY/3573212 ")</f>
        <v xml:space="preserve">http://slimages.macys.com/is/image/MCY/3573212 </v>
      </c>
    </row>
    <row r="13" spans="1:12" ht="39.950000000000003" customHeight="1" x14ac:dyDescent="0.25">
      <c r="A13" s="19" t="s">
        <v>2825</v>
      </c>
      <c r="B13" s="20" t="s">
        <v>2826</v>
      </c>
      <c r="C13" s="21">
        <v>1</v>
      </c>
      <c r="D13" s="22">
        <v>99.99</v>
      </c>
      <c r="E13" s="21" t="s">
        <v>2827</v>
      </c>
      <c r="F13" s="20" t="s">
        <v>1031</v>
      </c>
      <c r="G13" s="19"/>
      <c r="H13" s="20" t="s">
        <v>772</v>
      </c>
      <c r="I13" s="20" t="s">
        <v>773</v>
      </c>
      <c r="J13" s="20" t="s">
        <v>20</v>
      </c>
      <c r="K13" s="20" t="s">
        <v>341</v>
      </c>
      <c r="L13" s="23" t="str">
        <f>HYPERLINK("http://slimages.macys.com/is/image/MCY/8433239 ")</f>
        <v xml:space="preserve">http://slimages.macys.com/is/image/MCY/8433239 </v>
      </c>
    </row>
    <row r="14" spans="1:12" ht="39.950000000000003" customHeight="1" x14ac:dyDescent="0.25">
      <c r="A14" s="19" t="s">
        <v>2828</v>
      </c>
      <c r="B14" s="20" t="s">
        <v>2829</v>
      </c>
      <c r="C14" s="21">
        <v>1</v>
      </c>
      <c r="D14" s="22">
        <v>69.989999999999995</v>
      </c>
      <c r="E14" s="21" t="s">
        <v>2830</v>
      </c>
      <c r="F14" s="20" t="s">
        <v>206</v>
      </c>
      <c r="G14" s="19"/>
      <c r="H14" s="20" t="s">
        <v>772</v>
      </c>
      <c r="I14" s="20" t="s">
        <v>773</v>
      </c>
      <c r="J14" s="20" t="s">
        <v>20</v>
      </c>
      <c r="K14" s="20" t="s">
        <v>1052</v>
      </c>
      <c r="L14" s="23" t="str">
        <f>HYPERLINK("http://slimages.macys.com/is/image/MCY/8433239 ")</f>
        <v xml:space="preserve">http://slimages.macys.com/is/image/MCY/8433239 </v>
      </c>
    </row>
    <row r="15" spans="1:12" ht="39.950000000000003" customHeight="1" x14ac:dyDescent="0.25">
      <c r="A15" s="19" t="s">
        <v>2831</v>
      </c>
      <c r="B15" s="20" t="s">
        <v>2832</v>
      </c>
      <c r="C15" s="21">
        <v>1</v>
      </c>
      <c r="D15" s="22">
        <v>72.989999999999995</v>
      </c>
      <c r="E15" s="21" t="s">
        <v>2833</v>
      </c>
      <c r="F15" s="20" t="s">
        <v>16</v>
      </c>
      <c r="G15" s="19" t="s">
        <v>17</v>
      </c>
      <c r="H15" s="20" t="s">
        <v>865</v>
      </c>
      <c r="I15" s="20" t="s">
        <v>2834</v>
      </c>
      <c r="J15" s="20"/>
      <c r="K15" s="20"/>
      <c r="L15" s="23" t="str">
        <f>HYPERLINK("http://slimages.macys.com/is/image/MCY/17520198 ")</f>
        <v xml:space="preserve">http://slimages.macys.com/is/image/MCY/17520198 </v>
      </c>
    </row>
    <row r="16" spans="1:12" ht="39.950000000000003" customHeight="1" x14ac:dyDescent="0.25">
      <c r="A16" s="19" t="s">
        <v>2835</v>
      </c>
      <c r="B16" s="20" t="s">
        <v>2836</v>
      </c>
      <c r="C16" s="21">
        <v>1</v>
      </c>
      <c r="D16" s="22">
        <v>77.989999999999995</v>
      </c>
      <c r="E16" s="21" t="s">
        <v>2837</v>
      </c>
      <c r="F16" s="20" t="s">
        <v>600</v>
      </c>
      <c r="G16" s="19"/>
      <c r="H16" s="20" t="s">
        <v>712</v>
      </c>
      <c r="I16" s="20" t="s">
        <v>1576</v>
      </c>
      <c r="J16" s="20" t="s">
        <v>20</v>
      </c>
      <c r="K16" s="20" t="s">
        <v>2838</v>
      </c>
      <c r="L16" s="23" t="str">
        <f>HYPERLINK("http://slimages.macys.com/is/image/MCY/10005647 ")</f>
        <v xml:space="preserve">http://slimages.macys.com/is/image/MCY/10005647 </v>
      </c>
    </row>
    <row r="17" spans="1:12" ht="39.950000000000003" customHeight="1" x14ac:dyDescent="0.25">
      <c r="A17" s="19" t="s">
        <v>2839</v>
      </c>
      <c r="B17" s="20" t="s">
        <v>2840</v>
      </c>
      <c r="C17" s="21">
        <v>1</v>
      </c>
      <c r="D17" s="22">
        <v>69.989999999999995</v>
      </c>
      <c r="E17" s="21" t="s">
        <v>2841</v>
      </c>
      <c r="F17" s="20"/>
      <c r="G17" s="19"/>
      <c r="H17" s="20" t="s">
        <v>712</v>
      </c>
      <c r="I17" s="20" t="s">
        <v>1576</v>
      </c>
      <c r="J17" s="20" t="s">
        <v>20</v>
      </c>
      <c r="K17" s="20" t="s">
        <v>1907</v>
      </c>
      <c r="L17" s="23" t="str">
        <f>HYPERLINK("http://slimages.macys.com/is/image/MCY/8962717 ")</f>
        <v xml:space="preserve">http://slimages.macys.com/is/image/MCY/8962717 </v>
      </c>
    </row>
    <row r="18" spans="1:12" ht="39.950000000000003" customHeight="1" x14ac:dyDescent="0.25">
      <c r="A18" s="19" t="s">
        <v>2842</v>
      </c>
      <c r="B18" s="20" t="s">
        <v>2843</v>
      </c>
      <c r="C18" s="21">
        <v>1</v>
      </c>
      <c r="D18" s="22">
        <v>49.99</v>
      </c>
      <c r="E18" s="21" t="s">
        <v>2844</v>
      </c>
      <c r="F18" s="20" t="s">
        <v>691</v>
      </c>
      <c r="G18" s="19"/>
      <c r="H18" s="20" t="s">
        <v>718</v>
      </c>
      <c r="I18" s="20" t="s">
        <v>713</v>
      </c>
      <c r="J18" s="20"/>
      <c r="K18" s="20"/>
      <c r="L18" s="23" t="str">
        <f>HYPERLINK("http://slimages.macys.com/is/image/MCY/17960139 ")</f>
        <v xml:space="preserve">http://slimages.macys.com/is/image/MCY/17960139 </v>
      </c>
    </row>
    <row r="19" spans="1:12" ht="39.950000000000003" customHeight="1" x14ac:dyDescent="0.25">
      <c r="A19" s="19" t="s">
        <v>2845</v>
      </c>
      <c r="B19" s="20" t="s">
        <v>2846</v>
      </c>
      <c r="C19" s="21">
        <v>1</v>
      </c>
      <c r="D19" s="22">
        <v>79.989999999999995</v>
      </c>
      <c r="E19" s="21" t="s">
        <v>2847</v>
      </c>
      <c r="F19" s="20" t="s">
        <v>628</v>
      </c>
      <c r="G19" s="19"/>
      <c r="H19" s="20" t="s">
        <v>765</v>
      </c>
      <c r="I19" s="20" t="s">
        <v>2848</v>
      </c>
      <c r="J19" s="20" t="s">
        <v>20</v>
      </c>
      <c r="K19" s="20" t="s">
        <v>1683</v>
      </c>
      <c r="L19" s="23" t="str">
        <f>HYPERLINK("http://slimages.macys.com/is/image/MCY/15144360 ")</f>
        <v xml:space="preserve">http://slimages.macys.com/is/image/MCY/15144360 </v>
      </c>
    </row>
    <row r="20" spans="1:12" ht="39.950000000000003" customHeight="1" x14ac:dyDescent="0.25">
      <c r="A20" s="19" t="s">
        <v>2849</v>
      </c>
      <c r="B20" s="20" t="s">
        <v>2850</v>
      </c>
      <c r="C20" s="21">
        <v>2</v>
      </c>
      <c r="D20" s="22">
        <v>79.98</v>
      </c>
      <c r="E20" s="21">
        <v>22210338</v>
      </c>
      <c r="F20" s="20" t="s">
        <v>89</v>
      </c>
      <c r="G20" s="19"/>
      <c r="H20" s="20" t="s">
        <v>718</v>
      </c>
      <c r="I20" s="20" t="s">
        <v>1092</v>
      </c>
      <c r="J20" s="20"/>
      <c r="K20" s="20"/>
      <c r="L20" s="23" t="str">
        <f>HYPERLINK("http://slimages.macys.com/is/image/MCY/17177962 ")</f>
        <v xml:space="preserve">http://slimages.macys.com/is/image/MCY/17177962 </v>
      </c>
    </row>
    <row r="21" spans="1:12" ht="39.950000000000003" customHeight="1" x14ac:dyDescent="0.25">
      <c r="A21" s="19" t="s">
        <v>2851</v>
      </c>
      <c r="B21" s="20" t="s">
        <v>2852</v>
      </c>
      <c r="C21" s="21">
        <v>1</v>
      </c>
      <c r="D21" s="22">
        <v>99.99</v>
      </c>
      <c r="E21" s="21" t="s">
        <v>2853</v>
      </c>
      <c r="F21" s="20" t="s">
        <v>89</v>
      </c>
      <c r="G21" s="19" t="s">
        <v>845</v>
      </c>
      <c r="H21" s="20" t="s">
        <v>707</v>
      </c>
      <c r="I21" s="20" t="s">
        <v>730</v>
      </c>
      <c r="J21" s="20" t="s">
        <v>20</v>
      </c>
      <c r="K21" s="20" t="s">
        <v>846</v>
      </c>
      <c r="L21" s="23" t="str">
        <f>HYPERLINK("http://slimages.macys.com/is/image/MCY/8182285 ")</f>
        <v xml:space="preserve">http://slimages.macys.com/is/image/MCY/8182285 </v>
      </c>
    </row>
    <row r="22" spans="1:12" ht="39.950000000000003" customHeight="1" x14ac:dyDescent="0.25">
      <c r="A22" s="19" t="s">
        <v>2854</v>
      </c>
      <c r="B22" s="20" t="s">
        <v>2855</v>
      </c>
      <c r="C22" s="21">
        <v>1</v>
      </c>
      <c r="D22" s="22">
        <v>49.99</v>
      </c>
      <c r="E22" s="21">
        <v>2000000035</v>
      </c>
      <c r="F22" s="20" t="s">
        <v>1124</v>
      </c>
      <c r="G22" s="19"/>
      <c r="H22" s="20" t="s">
        <v>712</v>
      </c>
      <c r="I22" s="20" t="s">
        <v>1092</v>
      </c>
      <c r="J22" s="20"/>
      <c r="K22" s="20"/>
      <c r="L22" s="23" t="str">
        <f>HYPERLINK("http://slimages.macys.com/is/image/MCY/17814255 ")</f>
        <v xml:space="preserve">http://slimages.macys.com/is/image/MCY/17814255 </v>
      </c>
    </row>
    <row r="23" spans="1:12" ht="39.950000000000003" customHeight="1" x14ac:dyDescent="0.25">
      <c r="A23" s="19" t="s">
        <v>1104</v>
      </c>
      <c r="B23" s="20" t="s">
        <v>1105</v>
      </c>
      <c r="C23" s="21">
        <v>1</v>
      </c>
      <c r="D23" s="22">
        <v>49.99</v>
      </c>
      <c r="E23" s="21" t="s">
        <v>1106</v>
      </c>
      <c r="F23" s="20" t="s">
        <v>394</v>
      </c>
      <c r="G23" s="19"/>
      <c r="H23" s="20" t="s">
        <v>712</v>
      </c>
      <c r="I23" s="20" t="s">
        <v>1092</v>
      </c>
      <c r="J23" s="20" t="s">
        <v>20</v>
      </c>
      <c r="K23" s="20" t="s">
        <v>396</v>
      </c>
      <c r="L23" s="23" t="str">
        <f>HYPERLINK("http://slimages.macys.com/is/image/MCY/8347198 ")</f>
        <v xml:space="preserve">http://slimages.macys.com/is/image/MCY/8347198 </v>
      </c>
    </row>
    <row r="24" spans="1:12" ht="39.950000000000003" customHeight="1" x14ac:dyDescent="0.25">
      <c r="A24" s="19" t="s">
        <v>2856</v>
      </c>
      <c r="B24" s="20" t="s">
        <v>2857</v>
      </c>
      <c r="C24" s="21">
        <v>1</v>
      </c>
      <c r="D24" s="22">
        <v>89.99</v>
      </c>
      <c r="E24" s="21" t="s">
        <v>2858</v>
      </c>
      <c r="F24" s="20" t="s">
        <v>483</v>
      </c>
      <c r="G24" s="19"/>
      <c r="H24" s="20" t="s">
        <v>707</v>
      </c>
      <c r="I24" s="20" t="s">
        <v>708</v>
      </c>
      <c r="J24" s="20" t="s">
        <v>132</v>
      </c>
      <c r="K24" s="20" t="s">
        <v>2859</v>
      </c>
      <c r="L24" s="23" t="str">
        <f>HYPERLINK("http://slimages.macys.com/is/image/MCY/12354491 ")</f>
        <v xml:space="preserve">http://slimages.macys.com/is/image/MCY/12354491 </v>
      </c>
    </row>
    <row r="25" spans="1:12" ht="39.950000000000003" customHeight="1" x14ac:dyDescent="0.25">
      <c r="A25" s="19" t="s">
        <v>2860</v>
      </c>
      <c r="B25" s="20" t="s">
        <v>2861</v>
      </c>
      <c r="C25" s="21">
        <v>1</v>
      </c>
      <c r="D25" s="22">
        <v>79.989999999999995</v>
      </c>
      <c r="E25" s="21" t="s">
        <v>2862</v>
      </c>
      <c r="F25" s="20" t="s">
        <v>483</v>
      </c>
      <c r="G25" s="19"/>
      <c r="H25" s="20" t="s">
        <v>707</v>
      </c>
      <c r="I25" s="20" t="s">
        <v>708</v>
      </c>
      <c r="J25" s="20" t="s">
        <v>20</v>
      </c>
      <c r="K25" s="20"/>
      <c r="L25" s="23" t="str">
        <f>HYPERLINK("http://slimages.macys.com/is/image/MCY/12355152 ")</f>
        <v xml:space="preserve">http://slimages.macys.com/is/image/MCY/12355152 </v>
      </c>
    </row>
    <row r="26" spans="1:12" ht="39.950000000000003" customHeight="1" x14ac:dyDescent="0.25">
      <c r="A26" s="19" t="s">
        <v>1111</v>
      </c>
      <c r="B26" s="20" t="s">
        <v>1112</v>
      </c>
      <c r="C26" s="21">
        <v>1</v>
      </c>
      <c r="D26" s="22">
        <v>49.99</v>
      </c>
      <c r="E26" s="21" t="s">
        <v>1113</v>
      </c>
      <c r="F26" s="20" t="s">
        <v>394</v>
      </c>
      <c r="G26" s="19"/>
      <c r="H26" s="20" t="s">
        <v>718</v>
      </c>
      <c r="I26" s="20" t="s">
        <v>806</v>
      </c>
      <c r="J26" s="20"/>
      <c r="K26" s="20"/>
      <c r="L26" s="23" t="str">
        <f>HYPERLINK("http://slimages.macys.com/is/image/MCY/17968749 ")</f>
        <v xml:space="preserve">http://slimages.macys.com/is/image/MCY/17968749 </v>
      </c>
    </row>
    <row r="27" spans="1:12" ht="39.950000000000003" customHeight="1" x14ac:dyDescent="0.25">
      <c r="A27" s="19" t="s">
        <v>2863</v>
      </c>
      <c r="B27" s="20" t="s">
        <v>2864</v>
      </c>
      <c r="C27" s="21">
        <v>1</v>
      </c>
      <c r="D27" s="22">
        <v>47.99</v>
      </c>
      <c r="E27" s="21" t="s">
        <v>2865</v>
      </c>
      <c r="F27" s="20" t="s">
        <v>576</v>
      </c>
      <c r="G27" s="19" t="s">
        <v>930</v>
      </c>
      <c r="H27" s="20" t="s">
        <v>712</v>
      </c>
      <c r="I27" s="20" t="s">
        <v>1659</v>
      </c>
      <c r="J27" s="20" t="s">
        <v>20</v>
      </c>
      <c r="K27" s="20" t="s">
        <v>330</v>
      </c>
      <c r="L27" s="23" t="str">
        <f>HYPERLINK("http://slimages.macys.com/is/image/MCY/11629374 ")</f>
        <v xml:space="preserve">http://slimages.macys.com/is/image/MCY/11629374 </v>
      </c>
    </row>
    <row r="28" spans="1:12" ht="39.950000000000003" customHeight="1" x14ac:dyDescent="0.25">
      <c r="A28" s="19" t="s">
        <v>2866</v>
      </c>
      <c r="B28" s="20" t="s">
        <v>2867</v>
      </c>
      <c r="C28" s="21">
        <v>1</v>
      </c>
      <c r="D28" s="22">
        <v>25.99</v>
      </c>
      <c r="E28" s="21" t="s">
        <v>2868</v>
      </c>
      <c r="F28" s="20" t="s">
        <v>1321</v>
      </c>
      <c r="G28" s="19" t="s">
        <v>17</v>
      </c>
      <c r="H28" s="20" t="s">
        <v>765</v>
      </c>
      <c r="I28" s="20" t="s">
        <v>1722</v>
      </c>
      <c r="J28" s="20" t="s">
        <v>20</v>
      </c>
      <c r="K28" s="20" t="s">
        <v>1723</v>
      </c>
      <c r="L28" s="23" t="str">
        <f>HYPERLINK("http://slimages.macys.com/is/image/MCY/16276120 ")</f>
        <v xml:space="preserve">http://slimages.macys.com/is/image/MCY/16276120 </v>
      </c>
    </row>
    <row r="29" spans="1:12" ht="39.950000000000003" customHeight="1" x14ac:dyDescent="0.25">
      <c r="A29" s="19" t="s">
        <v>1727</v>
      </c>
      <c r="B29" s="20" t="s">
        <v>1728</v>
      </c>
      <c r="C29" s="21">
        <v>1</v>
      </c>
      <c r="D29" s="22">
        <v>39.99</v>
      </c>
      <c r="E29" s="21" t="s">
        <v>1729</v>
      </c>
      <c r="F29" s="20" t="s">
        <v>1036</v>
      </c>
      <c r="G29" s="19" t="s">
        <v>1687</v>
      </c>
      <c r="H29" s="20" t="s">
        <v>1157</v>
      </c>
      <c r="I29" s="20" t="s">
        <v>1158</v>
      </c>
      <c r="J29" s="20" t="s">
        <v>20</v>
      </c>
      <c r="K29" s="20" t="s">
        <v>341</v>
      </c>
      <c r="L29" s="23" t="str">
        <f>HYPERLINK("http://slimages.macys.com/is/image/MCY/9513121 ")</f>
        <v xml:space="preserve">http://slimages.macys.com/is/image/MCY/9513121 </v>
      </c>
    </row>
    <row r="30" spans="1:12" ht="39.950000000000003" customHeight="1" x14ac:dyDescent="0.25">
      <c r="A30" s="19" t="s">
        <v>2869</v>
      </c>
      <c r="B30" s="20" t="s">
        <v>2870</v>
      </c>
      <c r="C30" s="21">
        <v>1</v>
      </c>
      <c r="D30" s="22">
        <v>39.99</v>
      </c>
      <c r="E30" s="21" t="s">
        <v>1729</v>
      </c>
      <c r="F30" s="20" t="s">
        <v>2430</v>
      </c>
      <c r="G30" s="19" t="s">
        <v>1687</v>
      </c>
      <c r="H30" s="20" t="s">
        <v>1157</v>
      </c>
      <c r="I30" s="20" t="s">
        <v>1158</v>
      </c>
      <c r="J30" s="20" t="s">
        <v>20</v>
      </c>
      <c r="K30" s="20" t="s">
        <v>341</v>
      </c>
      <c r="L30" s="23" t="str">
        <f>HYPERLINK("http://slimages.macys.com/is/image/MCY/9513121 ")</f>
        <v xml:space="preserve">http://slimages.macys.com/is/image/MCY/9513121 </v>
      </c>
    </row>
    <row r="31" spans="1:12" ht="39.950000000000003" customHeight="1" x14ac:dyDescent="0.25">
      <c r="A31" s="19" t="s">
        <v>2871</v>
      </c>
      <c r="B31" s="20" t="s">
        <v>2872</v>
      </c>
      <c r="C31" s="21">
        <v>1</v>
      </c>
      <c r="D31" s="22">
        <v>69.989999999999995</v>
      </c>
      <c r="E31" s="21" t="s">
        <v>2873</v>
      </c>
      <c r="F31" s="20" t="s">
        <v>89</v>
      </c>
      <c r="G31" s="19"/>
      <c r="H31" s="20" t="s">
        <v>707</v>
      </c>
      <c r="I31" s="20" t="s">
        <v>708</v>
      </c>
      <c r="J31" s="20" t="s">
        <v>20</v>
      </c>
      <c r="K31" s="20" t="s">
        <v>362</v>
      </c>
      <c r="L31" s="23" t="str">
        <f>HYPERLINK("http://slimages.macys.com/is/image/MCY/15273413 ")</f>
        <v xml:space="preserve">http://slimages.macys.com/is/image/MCY/15273413 </v>
      </c>
    </row>
    <row r="32" spans="1:12" ht="39.950000000000003" customHeight="1" x14ac:dyDescent="0.25">
      <c r="A32" s="19" t="s">
        <v>2874</v>
      </c>
      <c r="B32" s="20" t="s">
        <v>2875</v>
      </c>
      <c r="C32" s="21">
        <v>2</v>
      </c>
      <c r="D32" s="22">
        <v>59.98</v>
      </c>
      <c r="E32" s="21" t="s">
        <v>2876</v>
      </c>
      <c r="F32" s="20" t="s">
        <v>1124</v>
      </c>
      <c r="G32" s="19"/>
      <c r="H32" s="20" t="s">
        <v>712</v>
      </c>
      <c r="I32" s="20" t="s">
        <v>1092</v>
      </c>
      <c r="J32" s="20" t="s">
        <v>20</v>
      </c>
      <c r="K32" s="20" t="s">
        <v>1093</v>
      </c>
      <c r="L32" s="23" t="str">
        <f>HYPERLINK("http://slimages.macys.com/is/image/MCY/9700679 ")</f>
        <v xml:space="preserve">http://slimages.macys.com/is/image/MCY/9700679 </v>
      </c>
    </row>
    <row r="33" spans="1:12" ht="39.950000000000003" customHeight="1" x14ac:dyDescent="0.25">
      <c r="A33" s="19" t="s">
        <v>2877</v>
      </c>
      <c r="B33" s="20" t="s">
        <v>2878</v>
      </c>
      <c r="C33" s="21">
        <v>1</v>
      </c>
      <c r="D33" s="22">
        <v>29.99</v>
      </c>
      <c r="E33" s="21" t="s">
        <v>2879</v>
      </c>
      <c r="F33" s="20" t="s">
        <v>31</v>
      </c>
      <c r="G33" s="19"/>
      <c r="H33" s="20" t="s">
        <v>712</v>
      </c>
      <c r="I33" s="20" t="s">
        <v>1576</v>
      </c>
      <c r="J33" s="20" t="s">
        <v>20</v>
      </c>
      <c r="K33" s="20" t="s">
        <v>2880</v>
      </c>
      <c r="L33" s="23" t="str">
        <f>HYPERLINK("http://slimages.macys.com/is/image/MCY/10652381 ")</f>
        <v xml:space="preserve">http://slimages.macys.com/is/image/MCY/10652381 </v>
      </c>
    </row>
    <row r="34" spans="1:12" ht="39.950000000000003" customHeight="1" x14ac:dyDescent="0.25">
      <c r="A34" s="19" t="s">
        <v>2881</v>
      </c>
      <c r="B34" s="20" t="s">
        <v>2882</v>
      </c>
      <c r="C34" s="21">
        <v>1</v>
      </c>
      <c r="D34" s="22">
        <v>79.989999999999995</v>
      </c>
      <c r="E34" s="21" t="s">
        <v>2883</v>
      </c>
      <c r="F34" s="20" t="s">
        <v>483</v>
      </c>
      <c r="G34" s="19"/>
      <c r="H34" s="20" t="s">
        <v>707</v>
      </c>
      <c r="I34" s="20" t="s">
        <v>708</v>
      </c>
      <c r="J34" s="20" t="s">
        <v>132</v>
      </c>
      <c r="K34" s="20" t="s">
        <v>2859</v>
      </c>
      <c r="L34" s="23" t="str">
        <f>HYPERLINK("http://slimages.macys.com/is/image/MCY/12354487 ")</f>
        <v xml:space="preserve">http://slimages.macys.com/is/image/MCY/12354487 </v>
      </c>
    </row>
    <row r="35" spans="1:12" ht="39.950000000000003" customHeight="1" x14ac:dyDescent="0.25">
      <c r="A35" s="19" t="s">
        <v>2884</v>
      </c>
      <c r="B35" s="20" t="s">
        <v>2885</v>
      </c>
      <c r="C35" s="21">
        <v>1</v>
      </c>
      <c r="D35" s="22">
        <v>22.99</v>
      </c>
      <c r="E35" s="21" t="s">
        <v>2886</v>
      </c>
      <c r="F35" s="20" t="s">
        <v>89</v>
      </c>
      <c r="G35" s="19" t="s">
        <v>915</v>
      </c>
      <c r="H35" s="20" t="s">
        <v>916</v>
      </c>
      <c r="I35" s="20" t="s">
        <v>1561</v>
      </c>
      <c r="J35" s="20" t="s">
        <v>20</v>
      </c>
      <c r="K35" s="20" t="s">
        <v>798</v>
      </c>
      <c r="L35" s="23" t="str">
        <f>HYPERLINK("http://slimages.macys.com/is/image/MCY/11946722 ")</f>
        <v xml:space="preserve">http://slimages.macys.com/is/image/MCY/11946722 </v>
      </c>
    </row>
    <row r="36" spans="1:12" ht="39.950000000000003" customHeight="1" x14ac:dyDescent="0.25">
      <c r="A36" s="19" t="s">
        <v>2887</v>
      </c>
      <c r="B36" s="20" t="s">
        <v>2888</v>
      </c>
      <c r="C36" s="21">
        <v>1</v>
      </c>
      <c r="D36" s="22">
        <v>12.99</v>
      </c>
      <c r="E36" s="21">
        <v>1009932900</v>
      </c>
      <c r="F36" s="20" t="s">
        <v>922</v>
      </c>
      <c r="G36" s="19" t="s">
        <v>954</v>
      </c>
      <c r="H36" s="20" t="s">
        <v>916</v>
      </c>
      <c r="I36" s="20" t="s">
        <v>1561</v>
      </c>
      <c r="J36" s="20"/>
      <c r="K36" s="20"/>
      <c r="L36" s="23" t="str">
        <f>HYPERLINK("http://slimages.macys.com/is/image/MCY/18305389 ")</f>
        <v xml:space="preserve">http://slimages.macys.com/is/image/MCY/18305389 </v>
      </c>
    </row>
    <row r="37" spans="1:12" ht="39.950000000000003" customHeight="1" x14ac:dyDescent="0.25">
      <c r="A37" s="19" t="s">
        <v>2889</v>
      </c>
      <c r="B37" s="20" t="s">
        <v>2890</v>
      </c>
      <c r="C37" s="21">
        <v>1</v>
      </c>
      <c r="D37" s="22">
        <v>9.99</v>
      </c>
      <c r="E37" s="21" t="s">
        <v>2891</v>
      </c>
      <c r="F37" s="20" t="s">
        <v>1008</v>
      </c>
      <c r="G37" s="19" t="s">
        <v>954</v>
      </c>
      <c r="H37" s="20" t="s">
        <v>916</v>
      </c>
      <c r="I37" s="20" t="s">
        <v>1004</v>
      </c>
      <c r="J37" s="20" t="s">
        <v>20</v>
      </c>
      <c r="K37" s="20" t="s">
        <v>798</v>
      </c>
      <c r="L37" s="23" t="str">
        <f>HYPERLINK("http://slimages.macys.com/is/image/MCY/13078031 ")</f>
        <v xml:space="preserve">http://slimages.macys.com/is/image/MCY/13078031 </v>
      </c>
    </row>
    <row r="38" spans="1:12" ht="39.950000000000003" customHeight="1" x14ac:dyDescent="0.25">
      <c r="A38" s="19" t="s">
        <v>2892</v>
      </c>
      <c r="B38" s="20" t="s">
        <v>2893</v>
      </c>
      <c r="C38" s="21">
        <v>1</v>
      </c>
      <c r="D38" s="22">
        <v>9.99</v>
      </c>
      <c r="E38" s="21" t="s">
        <v>2894</v>
      </c>
      <c r="F38" s="20" t="s">
        <v>922</v>
      </c>
      <c r="G38" s="19"/>
      <c r="H38" s="20" t="s">
        <v>745</v>
      </c>
      <c r="I38" s="20" t="s">
        <v>2895</v>
      </c>
      <c r="J38" s="20"/>
      <c r="K38" s="20"/>
      <c r="L38" s="23" t="str">
        <f>HYPERLINK("http://slimages.macys.com/is/image/MCY/17995889 ")</f>
        <v xml:space="preserve">http://slimages.macys.com/is/image/MCY/17995889 </v>
      </c>
    </row>
    <row r="39" spans="1:12" ht="39.950000000000003" customHeight="1" x14ac:dyDescent="0.25">
      <c r="A39" s="19" t="s">
        <v>2896</v>
      </c>
      <c r="B39" s="20" t="s">
        <v>2897</v>
      </c>
      <c r="C39" s="21">
        <v>1</v>
      </c>
      <c r="D39" s="22">
        <v>6.99</v>
      </c>
      <c r="E39" s="21">
        <v>1010021400</v>
      </c>
      <c r="F39" s="20" t="s">
        <v>674</v>
      </c>
      <c r="G39" s="19" t="s">
        <v>1179</v>
      </c>
      <c r="H39" s="20" t="s">
        <v>916</v>
      </c>
      <c r="I39" s="20" t="s">
        <v>1561</v>
      </c>
      <c r="J39" s="20"/>
      <c r="K39" s="20"/>
      <c r="L39" s="23" t="str">
        <f>HYPERLINK("http://slimages.macys.com/is/image/MCY/18097904 ")</f>
        <v xml:space="preserve">http://slimages.macys.com/is/image/MCY/18097904 </v>
      </c>
    </row>
    <row r="40" spans="1:12" ht="39.950000000000003" customHeight="1" x14ac:dyDescent="0.25">
      <c r="A40" s="19" t="s">
        <v>2898</v>
      </c>
      <c r="B40" s="20" t="s">
        <v>2899</v>
      </c>
      <c r="C40" s="21">
        <v>1</v>
      </c>
      <c r="D40" s="22">
        <v>129.99</v>
      </c>
      <c r="E40" s="21" t="s">
        <v>2900</v>
      </c>
      <c r="F40" s="20" t="s">
        <v>483</v>
      </c>
      <c r="G40" s="19"/>
      <c r="H40" s="20" t="s">
        <v>1673</v>
      </c>
      <c r="I40" s="20" t="s">
        <v>1674</v>
      </c>
      <c r="J40" s="20"/>
      <c r="K40" s="20"/>
      <c r="L40" s="23"/>
    </row>
    <row r="41" spans="1:12" ht="39.950000000000003" customHeight="1" x14ac:dyDescent="0.25">
      <c r="A41" s="19" t="s">
        <v>1019</v>
      </c>
      <c r="B41" s="20" t="s">
        <v>694</v>
      </c>
      <c r="C41" s="21">
        <v>4</v>
      </c>
      <c r="D41" s="22">
        <v>160</v>
      </c>
      <c r="E41" s="21"/>
      <c r="F41" s="20" t="s">
        <v>16</v>
      </c>
      <c r="G41" s="19" t="s">
        <v>17</v>
      </c>
      <c r="H41" s="20" t="s">
        <v>695</v>
      </c>
      <c r="I41" s="20" t="s">
        <v>696</v>
      </c>
      <c r="J41" s="20"/>
      <c r="K41" s="20"/>
      <c r="L41" s="23"/>
    </row>
    <row r="42" spans="1:12" ht="39.950000000000003" customHeight="1" x14ac:dyDescent="0.25">
      <c r="A42" s="19" t="s">
        <v>2901</v>
      </c>
      <c r="B42" s="20" t="s">
        <v>2902</v>
      </c>
      <c r="C42" s="21">
        <v>1</v>
      </c>
      <c r="D42" s="22">
        <v>59.99</v>
      </c>
      <c r="E42" s="21" t="s">
        <v>2903</v>
      </c>
      <c r="F42" s="20" t="s">
        <v>555</v>
      </c>
      <c r="G42" s="19"/>
      <c r="H42" s="20" t="s">
        <v>745</v>
      </c>
      <c r="I42" s="20" t="s">
        <v>1576</v>
      </c>
      <c r="J42" s="20"/>
      <c r="K42" s="20"/>
      <c r="L42" s="23"/>
    </row>
    <row r="43" spans="1:12" ht="39.950000000000003" customHeight="1" x14ac:dyDescent="0.25">
      <c r="A43" s="19" t="s">
        <v>2904</v>
      </c>
      <c r="B43" s="20" t="s">
        <v>2905</v>
      </c>
      <c r="C43" s="21">
        <v>1</v>
      </c>
      <c r="D43" s="22">
        <v>39.99</v>
      </c>
      <c r="E43" s="21" t="s">
        <v>2906</v>
      </c>
      <c r="F43" s="20" t="s">
        <v>610</v>
      </c>
      <c r="G43" s="19"/>
      <c r="H43" s="20" t="s">
        <v>745</v>
      </c>
      <c r="I43" s="20" t="s">
        <v>1659</v>
      </c>
      <c r="J43" s="20"/>
      <c r="K43" s="20"/>
      <c r="L43" s="23"/>
    </row>
    <row r="44" spans="1:12" ht="39.950000000000003" customHeight="1" x14ac:dyDescent="0.25">
      <c r="A44" s="19" t="s">
        <v>2907</v>
      </c>
      <c r="B44" s="20" t="s">
        <v>2908</v>
      </c>
      <c r="C44" s="21">
        <v>3</v>
      </c>
      <c r="D44" s="22">
        <v>38.97</v>
      </c>
      <c r="E44" s="21">
        <v>1010044200</v>
      </c>
      <c r="F44" s="20" t="s">
        <v>610</v>
      </c>
      <c r="G44" s="19" t="s">
        <v>954</v>
      </c>
      <c r="H44" s="20" t="s">
        <v>916</v>
      </c>
      <c r="I44" s="20" t="s">
        <v>1561</v>
      </c>
      <c r="J44" s="20"/>
      <c r="K44" s="20"/>
      <c r="L44" s="23"/>
    </row>
    <row r="45" spans="1:12" ht="39.950000000000003" customHeight="1" x14ac:dyDescent="0.25">
      <c r="A45" s="13"/>
      <c r="B45" s="14"/>
      <c r="C45" s="15"/>
      <c r="D45" s="16"/>
      <c r="E45" s="15"/>
      <c r="F45" s="14"/>
      <c r="G45" s="13"/>
      <c r="H45" s="14"/>
      <c r="I45" s="14"/>
      <c r="J45" s="14"/>
      <c r="K45" s="14"/>
      <c r="L45" s="17"/>
    </row>
    <row r="46" spans="1:12" ht="39.950000000000003" customHeight="1" x14ac:dyDescent="0.25">
      <c r="A46" s="13"/>
      <c r="B46" s="14"/>
      <c r="C46" s="15"/>
      <c r="D46" s="16"/>
      <c r="E46" s="15"/>
      <c r="F46" s="14"/>
      <c r="G46" s="13"/>
      <c r="H46" s="14"/>
      <c r="I46" s="14"/>
      <c r="J46" s="14"/>
      <c r="K46" s="14"/>
      <c r="L46" s="17"/>
    </row>
    <row r="47" spans="1:12" ht="39.950000000000003" customHeight="1" x14ac:dyDescent="0.25">
      <c r="A47" s="13"/>
      <c r="B47" s="14"/>
      <c r="C47" s="15"/>
      <c r="D47" s="16"/>
      <c r="E47" s="15"/>
      <c r="F47" s="14"/>
      <c r="G47" s="13"/>
      <c r="H47" s="14"/>
      <c r="I47" s="14"/>
      <c r="J47" s="14"/>
      <c r="K47" s="14"/>
      <c r="L47" s="17"/>
    </row>
    <row r="48" spans="1:12" ht="39.950000000000003" customHeight="1" x14ac:dyDescent="0.25">
      <c r="A48" s="13"/>
      <c r="B48" s="14"/>
      <c r="C48" s="15"/>
      <c r="D48" s="16"/>
      <c r="E48" s="15"/>
      <c r="F48" s="14"/>
      <c r="G48" s="13"/>
      <c r="H48" s="14"/>
      <c r="I48" s="14"/>
      <c r="J48" s="14"/>
      <c r="K48" s="14"/>
      <c r="L48" s="17"/>
    </row>
    <row r="49" spans="1:12" ht="39.950000000000003" customHeight="1" x14ac:dyDescent="0.25">
      <c r="A49" s="13"/>
      <c r="B49" s="14"/>
      <c r="C49" s="15"/>
      <c r="D49" s="16"/>
      <c r="E49" s="15"/>
      <c r="F49" s="14"/>
      <c r="G49" s="13"/>
      <c r="H49" s="14"/>
      <c r="I49" s="14"/>
      <c r="J49" s="14"/>
      <c r="K49" s="14"/>
      <c r="L49" s="17"/>
    </row>
    <row r="50" spans="1:12" ht="39.950000000000003" customHeight="1" x14ac:dyDescent="0.25">
      <c r="A50" s="13"/>
      <c r="B50" s="14"/>
      <c r="C50" s="15"/>
      <c r="D50" s="16"/>
      <c r="E50" s="15"/>
      <c r="F50" s="14"/>
      <c r="G50" s="13"/>
      <c r="H50" s="14"/>
      <c r="I50" s="14"/>
      <c r="J50" s="14"/>
      <c r="K50" s="14"/>
      <c r="L50" s="17"/>
    </row>
    <row r="51" spans="1:12" ht="39.950000000000003" customHeight="1" x14ac:dyDescent="0.25">
      <c r="A51" s="13"/>
      <c r="B51" s="14"/>
      <c r="C51" s="15"/>
      <c r="D51" s="16"/>
      <c r="E51" s="15"/>
      <c r="F51" s="14"/>
      <c r="G51" s="13"/>
      <c r="H51" s="14"/>
      <c r="I51" s="14"/>
      <c r="J51" s="14"/>
      <c r="K51" s="14"/>
      <c r="L51" s="17"/>
    </row>
    <row r="52" spans="1:12" ht="39.950000000000003" customHeight="1" x14ac:dyDescent="0.25">
      <c r="A52" s="13"/>
      <c r="B52" s="14"/>
      <c r="C52" s="15"/>
      <c r="D52" s="16"/>
      <c r="E52" s="15"/>
      <c r="F52" s="14"/>
      <c r="G52" s="13"/>
      <c r="H52" s="14"/>
      <c r="I52" s="14"/>
      <c r="J52" s="14"/>
      <c r="K52" s="14"/>
      <c r="L52" s="17"/>
    </row>
    <row r="53" spans="1:12" ht="39.950000000000003" customHeight="1" x14ac:dyDescent="0.25">
      <c r="A53" s="13"/>
      <c r="B53" s="14"/>
      <c r="C53" s="15"/>
      <c r="D53" s="16"/>
      <c r="E53" s="15"/>
      <c r="F53" s="14"/>
      <c r="G53" s="13"/>
      <c r="H53" s="14"/>
      <c r="I53" s="14"/>
      <c r="J53" s="14"/>
      <c r="K53" s="14"/>
      <c r="L53" s="17"/>
    </row>
    <row r="54" spans="1:12" ht="39.950000000000003" customHeight="1" x14ac:dyDescent="0.25">
      <c r="A54" s="13"/>
      <c r="B54" s="14"/>
      <c r="C54" s="15"/>
      <c r="D54" s="16"/>
      <c r="E54" s="15"/>
      <c r="F54" s="14"/>
      <c r="G54" s="13"/>
      <c r="H54" s="14"/>
      <c r="I54" s="14"/>
      <c r="J54" s="14"/>
      <c r="K54" s="14"/>
      <c r="L54" s="17"/>
    </row>
    <row r="55" spans="1:12" ht="39.950000000000003" customHeight="1" x14ac:dyDescent="0.25">
      <c r="A55" s="13"/>
      <c r="B55" s="14"/>
      <c r="C55" s="15"/>
      <c r="D55" s="16"/>
      <c r="E55" s="15"/>
      <c r="F55" s="14"/>
      <c r="G55" s="13"/>
      <c r="H55" s="14"/>
      <c r="I55" s="14"/>
      <c r="J55" s="14"/>
      <c r="K55" s="14"/>
      <c r="L55" s="17"/>
    </row>
    <row r="56" spans="1:12" ht="39.950000000000003" customHeight="1" x14ac:dyDescent="0.25">
      <c r="A56" s="13"/>
      <c r="B56" s="14"/>
      <c r="C56" s="15"/>
      <c r="D56" s="16"/>
      <c r="E56" s="15"/>
      <c r="F56" s="14"/>
      <c r="G56" s="13"/>
      <c r="H56" s="14"/>
      <c r="I56" s="14"/>
      <c r="J56" s="14"/>
      <c r="K56" s="14"/>
      <c r="L56" s="17"/>
    </row>
    <row r="65" ht="39.950000000000003" customHeight="1" x14ac:dyDescent="0.25"/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6"/>
  <sheetViews>
    <sheetView workbookViewId="0">
      <selection activeCell="E2" sqref="E2"/>
    </sheetView>
  </sheetViews>
  <sheetFormatPr defaultRowHeight="15" x14ac:dyDescent="0.25"/>
  <cols>
    <col min="1" max="1" width="14.28515625" customWidth="1"/>
    <col min="2" max="2" width="22.28515625" customWidth="1"/>
    <col min="3" max="3" width="15" customWidth="1"/>
    <col min="4" max="4" width="10.28515625" customWidth="1"/>
    <col min="5" max="5" width="17.140625" customWidth="1"/>
    <col min="6" max="6" width="11.42578125" customWidth="1"/>
    <col min="7" max="7" width="12.140625" customWidth="1"/>
    <col min="8" max="8" width="36.42578125" bestFit="1" customWidth="1"/>
    <col min="9" max="9" width="17.7109375" bestFit="1" customWidth="1"/>
    <col min="10" max="10" width="20.7109375" customWidth="1"/>
    <col min="11" max="11" width="34.140625" bestFit="1" customWidth="1"/>
  </cols>
  <sheetData>
    <row r="1" spans="1:11" ht="36" x14ac:dyDescent="0.25">
      <c r="A1" s="18" t="s">
        <v>2</v>
      </c>
      <c r="B1" s="18" t="s">
        <v>3</v>
      </c>
      <c r="C1" s="18" t="s">
        <v>4</v>
      </c>
      <c r="D1" s="18" t="s">
        <v>5</v>
      </c>
      <c r="E1" s="18" t="s">
        <v>6</v>
      </c>
      <c r="F1" s="18" t="s">
        <v>7</v>
      </c>
      <c r="G1" s="18" t="s">
        <v>9</v>
      </c>
      <c r="H1" s="18" t="s">
        <v>10</v>
      </c>
      <c r="I1" s="18" t="s">
        <v>11</v>
      </c>
      <c r="J1" s="18" t="s">
        <v>12</v>
      </c>
      <c r="K1" s="18" t="s">
        <v>13</v>
      </c>
    </row>
    <row r="2" spans="1:11" ht="36" x14ac:dyDescent="0.25">
      <c r="A2" s="19" t="s">
        <v>2909</v>
      </c>
      <c r="B2" s="20" t="s">
        <v>2910</v>
      </c>
      <c r="C2" s="21">
        <v>1</v>
      </c>
      <c r="D2" s="22">
        <v>219.99</v>
      </c>
      <c r="E2" s="21">
        <v>81062</v>
      </c>
      <c r="F2" s="20" t="s">
        <v>289</v>
      </c>
      <c r="G2" s="20" t="s">
        <v>782</v>
      </c>
      <c r="H2" s="20" t="s">
        <v>835</v>
      </c>
      <c r="I2" s="20" t="s">
        <v>20</v>
      </c>
      <c r="J2" s="20" t="s">
        <v>2911</v>
      </c>
      <c r="K2" s="23" t="str">
        <f>HYPERLINK("http://slimages.macys.com/is/image/MCY/10055990 ")</f>
        <v xml:space="preserve">http://slimages.macys.com/is/image/MCY/10055990 </v>
      </c>
    </row>
    <row r="3" spans="1:11" ht="36" x14ac:dyDescent="0.25">
      <c r="A3" s="19" t="s">
        <v>1858</v>
      </c>
      <c r="B3" s="20" t="s">
        <v>1859</v>
      </c>
      <c r="C3" s="21">
        <v>1</v>
      </c>
      <c r="D3" s="22">
        <v>249.99</v>
      </c>
      <c r="E3" s="21" t="s">
        <v>1860</v>
      </c>
      <c r="F3" s="20" t="s">
        <v>89</v>
      </c>
      <c r="G3" s="20" t="s">
        <v>707</v>
      </c>
      <c r="H3" s="20" t="s">
        <v>874</v>
      </c>
      <c r="I3" s="20"/>
      <c r="J3" s="20"/>
      <c r="K3" s="23" t="str">
        <f>HYPERLINK("http://slimages.macys.com/is/image/MCY/18173132 ")</f>
        <v xml:space="preserve">http://slimages.macys.com/is/image/MCY/18173132 </v>
      </c>
    </row>
    <row r="4" spans="1:11" ht="48" x14ac:dyDescent="0.25">
      <c r="A4" s="19" t="s">
        <v>2912</v>
      </c>
      <c r="B4" s="20" t="s">
        <v>2913</v>
      </c>
      <c r="C4" s="21">
        <v>2</v>
      </c>
      <c r="D4" s="22">
        <v>379.98</v>
      </c>
      <c r="E4" s="21" t="s">
        <v>2914</v>
      </c>
      <c r="F4" s="20" t="s">
        <v>89</v>
      </c>
      <c r="G4" s="20" t="s">
        <v>724</v>
      </c>
      <c r="H4" s="20" t="s">
        <v>725</v>
      </c>
      <c r="I4" s="20" t="s">
        <v>20</v>
      </c>
      <c r="J4" s="20" t="s">
        <v>726</v>
      </c>
      <c r="K4" s="23" t="str">
        <f>HYPERLINK("http://slimages.macys.com/is/image/MCY/3962581 ")</f>
        <v xml:space="preserve">http://slimages.macys.com/is/image/MCY/3962581 </v>
      </c>
    </row>
    <row r="5" spans="1:11" ht="36" x14ac:dyDescent="0.25">
      <c r="A5" s="19" t="s">
        <v>2915</v>
      </c>
      <c r="B5" s="20" t="s">
        <v>2916</v>
      </c>
      <c r="C5" s="21">
        <v>2</v>
      </c>
      <c r="D5" s="22">
        <v>359.98</v>
      </c>
      <c r="E5" s="21">
        <v>82241</v>
      </c>
      <c r="F5" s="20" t="s">
        <v>628</v>
      </c>
      <c r="G5" s="20" t="s">
        <v>712</v>
      </c>
      <c r="H5" s="20" t="s">
        <v>1058</v>
      </c>
      <c r="I5" s="20"/>
      <c r="J5" s="20"/>
      <c r="K5" s="23" t="str">
        <f>HYPERLINK("http://slimages.macys.com/is/image/MCY/17257919 ")</f>
        <v xml:space="preserve">http://slimages.macys.com/is/image/MCY/17257919 </v>
      </c>
    </row>
    <row r="6" spans="1:11" ht="36" x14ac:dyDescent="0.25">
      <c r="A6" s="19" t="s">
        <v>2917</v>
      </c>
      <c r="B6" s="20" t="s">
        <v>2918</v>
      </c>
      <c r="C6" s="21">
        <v>1</v>
      </c>
      <c r="D6" s="22">
        <v>178.99</v>
      </c>
      <c r="E6" s="21" t="s">
        <v>2919</v>
      </c>
      <c r="F6" s="20" t="s">
        <v>89</v>
      </c>
      <c r="G6" s="20" t="s">
        <v>1644</v>
      </c>
      <c r="H6" s="20" t="s">
        <v>2293</v>
      </c>
      <c r="I6" s="20"/>
      <c r="J6" s="20" t="s">
        <v>362</v>
      </c>
      <c r="K6" s="23" t="str">
        <f>HYPERLINK("http://slimages.macys.com/is/image/MCY/15693091 ")</f>
        <v xml:space="preserve">http://slimages.macys.com/is/image/MCY/15693091 </v>
      </c>
    </row>
    <row r="7" spans="1:11" ht="36" x14ac:dyDescent="0.25">
      <c r="A7" s="19" t="s">
        <v>2920</v>
      </c>
      <c r="B7" s="20" t="s">
        <v>2921</v>
      </c>
      <c r="C7" s="21">
        <v>1</v>
      </c>
      <c r="D7" s="22">
        <v>149.99</v>
      </c>
      <c r="E7" s="21">
        <v>61133</v>
      </c>
      <c r="F7" s="20" t="s">
        <v>89</v>
      </c>
      <c r="G7" s="20" t="s">
        <v>782</v>
      </c>
      <c r="H7" s="20" t="s">
        <v>835</v>
      </c>
      <c r="I7" s="20" t="s">
        <v>20</v>
      </c>
      <c r="J7" s="20" t="s">
        <v>396</v>
      </c>
      <c r="K7" s="23" t="str">
        <f>HYPERLINK("http://slimages.macys.com/is/image/MCY/15866419 ")</f>
        <v xml:space="preserve">http://slimages.macys.com/is/image/MCY/15866419 </v>
      </c>
    </row>
    <row r="8" spans="1:11" ht="36" x14ac:dyDescent="0.25">
      <c r="A8" s="19" t="s">
        <v>2922</v>
      </c>
      <c r="B8" s="20" t="s">
        <v>2923</v>
      </c>
      <c r="C8" s="21">
        <v>1</v>
      </c>
      <c r="D8" s="22">
        <v>109.99</v>
      </c>
      <c r="E8" s="21" t="s">
        <v>2924</v>
      </c>
      <c r="F8" s="20" t="s">
        <v>78</v>
      </c>
      <c r="G8" s="20" t="s">
        <v>831</v>
      </c>
      <c r="H8" s="20" t="s">
        <v>931</v>
      </c>
      <c r="I8" s="20" t="s">
        <v>20</v>
      </c>
      <c r="J8" s="20" t="s">
        <v>330</v>
      </c>
      <c r="K8" s="23" t="str">
        <f>HYPERLINK("http://slimages.macys.com/is/image/MCY/12948292 ")</f>
        <v xml:space="preserve">http://slimages.macys.com/is/image/MCY/12948292 </v>
      </c>
    </row>
    <row r="9" spans="1:11" ht="36" x14ac:dyDescent="0.25">
      <c r="A9" s="19" t="s">
        <v>2925</v>
      </c>
      <c r="B9" s="20" t="s">
        <v>2926</v>
      </c>
      <c r="C9" s="21">
        <v>1</v>
      </c>
      <c r="D9" s="22">
        <v>119.99</v>
      </c>
      <c r="E9" s="21" t="s">
        <v>2927</v>
      </c>
      <c r="F9" s="20" t="s">
        <v>525</v>
      </c>
      <c r="G9" s="20" t="s">
        <v>782</v>
      </c>
      <c r="H9" s="20" t="s">
        <v>1990</v>
      </c>
      <c r="I9" s="20" t="s">
        <v>20</v>
      </c>
      <c r="J9" s="20" t="s">
        <v>2928</v>
      </c>
      <c r="K9" s="23" t="str">
        <f>HYPERLINK("http://slimages.macys.com/is/image/MCY/15208851 ")</f>
        <v xml:space="preserve">http://slimages.macys.com/is/image/MCY/15208851 </v>
      </c>
    </row>
    <row r="10" spans="1:11" ht="36" x14ac:dyDescent="0.25">
      <c r="A10" s="19" t="s">
        <v>2929</v>
      </c>
      <c r="B10" s="20" t="s">
        <v>2930</v>
      </c>
      <c r="C10" s="21">
        <v>1</v>
      </c>
      <c r="D10" s="22">
        <v>139.99</v>
      </c>
      <c r="E10" s="21" t="s">
        <v>2931</v>
      </c>
      <c r="F10" s="20" t="s">
        <v>89</v>
      </c>
      <c r="G10" s="20" t="s">
        <v>1673</v>
      </c>
      <c r="H10" s="20" t="s">
        <v>1674</v>
      </c>
      <c r="I10" s="20"/>
      <c r="J10" s="20"/>
      <c r="K10" s="23" t="str">
        <f>HYPERLINK("http://slimages.macys.com/is/image/MCY/18941500 ")</f>
        <v xml:space="preserve">http://slimages.macys.com/is/image/MCY/18941500 </v>
      </c>
    </row>
    <row r="11" spans="1:11" ht="36" x14ac:dyDescent="0.25">
      <c r="A11" s="19" t="s">
        <v>2932</v>
      </c>
      <c r="B11" s="20" t="s">
        <v>2933</v>
      </c>
      <c r="C11" s="21">
        <v>1</v>
      </c>
      <c r="D11" s="22">
        <v>119.99</v>
      </c>
      <c r="E11" s="21" t="s">
        <v>2934</v>
      </c>
      <c r="F11" s="20" t="s">
        <v>89</v>
      </c>
      <c r="G11" s="20" t="s">
        <v>772</v>
      </c>
      <c r="H11" s="20" t="s">
        <v>773</v>
      </c>
      <c r="I11" s="20" t="s">
        <v>20</v>
      </c>
      <c r="J11" s="20" t="s">
        <v>341</v>
      </c>
      <c r="K11" s="23" t="str">
        <f>HYPERLINK("http://slimages.macys.com/is/image/MCY/8433239 ")</f>
        <v xml:space="preserve">http://slimages.macys.com/is/image/MCY/8433239 </v>
      </c>
    </row>
    <row r="12" spans="1:11" ht="36" x14ac:dyDescent="0.25">
      <c r="A12" s="19" t="s">
        <v>2935</v>
      </c>
      <c r="B12" s="20" t="s">
        <v>2936</v>
      </c>
      <c r="C12" s="21">
        <v>1</v>
      </c>
      <c r="D12" s="22">
        <v>119.99</v>
      </c>
      <c r="E12" s="21" t="s">
        <v>2937</v>
      </c>
      <c r="F12" s="20" t="s">
        <v>1036</v>
      </c>
      <c r="G12" s="20" t="s">
        <v>772</v>
      </c>
      <c r="H12" s="20" t="s">
        <v>773</v>
      </c>
      <c r="I12" s="20" t="s">
        <v>20</v>
      </c>
      <c r="J12" s="20" t="s">
        <v>341</v>
      </c>
      <c r="K12" s="23" t="str">
        <f>HYPERLINK("http://slimages.macys.com/is/image/MCY/11607139 ")</f>
        <v xml:space="preserve">http://slimages.macys.com/is/image/MCY/11607139 </v>
      </c>
    </row>
    <row r="13" spans="1:11" ht="36" x14ac:dyDescent="0.25">
      <c r="A13" s="19" t="s">
        <v>2938</v>
      </c>
      <c r="B13" s="20" t="s">
        <v>2939</v>
      </c>
      <c r="C13" s="21">
        <v>3</v>
      </c>
      <c r="D13" s="22">
        <v>329.97</v>
      </c>
      <c r="E13" s="21" t="s">
        <v>2940</v>
      </c>
      <c r="F13" s="20" t="s">
        <v>89</v>
      </c>
      <c r="G13" s="20" t="s">
        <v>1673</v>
      </c>
      <c r="H13" s="20" t="s">
        <v>1674</v>
      </c>
      <c r="I13" s="20"/>
      <c r="J13" s="20"/>
      <c r="K13" s="23" t="str">
        <f>HYPERLINK("http://slimages.macys.com/is/image/MCY/18893344 ")</f>
        <v xml:space="preserve">http://slimages.macys.com/is/image/MCY/18893344 </v>
      </c>
    </row>
    <row r="14" spans="1:11" ht="48" x14ac:dyDescent="0.25">
      <c r="A14" s="19" t="s">
        <v>2941</v>
      </c>
      <c r="B14" s="20" t="s">
        <v>2942</v>
      </c>
      <c r="C14" s="21">
        <v>1</v>
      </c>
      <c r="D14" s="22">
        <v>99.99</v>
      </c>
      <c r="E14" s="21" t="s">
        <v>2943</v>
      </c>
      <c r="F14" s="20" t="s">
        <v>394</v>
      </c>
      <c r="G14" s="20" t="s">
        <v>1673</v>
      </c>
      <c r="H14" s="20" t="s">
        <v>1674</v>
      </c>
      <c r="I14" s="20" t="s">
        <v>20</v>
      </c>
      <c r="J14" s="20"/>
      <c r="K14" s="23" t="str">
        <f>HYPERLINK("http://slimages.macys.com/is/image/MCY/16633335 ")</f>
        <v xml:space="preserve">http://slimages.macys.com/is/image/MCY/16633335 </v>
      </c>
    </row>
    <row r="15" spans="1:11" ht="36" x14ac:dyDescent="0.25">
      <c r="A15" s="19" t="s">
        <v>2944</v>
      </c>
      <c r="B15" s="20" t="s">
        <v>2945</v>
      </c>
      <c r="C15" s="21">
        <v>1</v>
      </c>
      <c r="D15" s="22">
        <v>99.99</v>
      </c>
      <c r="E15" s="21" t="s">
        <v>2946</v>
      </c>
      <c r="F15" s="20" t="s">
        <v>600</v>
      </c>
      <c r="G15" s="20" t="s">
        <v>772</v>
      </c>
      <c r="H15" s="20" t="s">
        <v>773</v>
      </c>
      <c r="I15" s="20" t="s">
        <v>20</v>
      </c>
      <c r="J15" s="20" t="s">
        <v>1052</v>
      </c>
      <c r="K15" s="23" t="str">
        <f>HYPERLINK("http://slimages.macys.com/is/image/MCY/11607139 ")</f>
        <v xml:space="preserve">http://slimages.macys.com/is/image/MCY/11607139 </v>
      </c>
    </row>
    <row r="16" spans="1:11" ht="72" x14ac:dyDescent="0.25">
      <c r="A16" s="19" t="s">
        <v>2947</v>
      </c>
      <c r="B16" s="20" t="s">
        <v>2948</v>
      </c>
      <c r="C16" s="21">
        <v>1</v>
      </c>
      <c r="D16" s="22">
        <v>69.989999999999995</v>
      </c>
      <c r="E16" s="21" t="s">
        <v>2949</v>
      </c>
      <c r="F16" s="20" t="s">
        <v>89</v>
      </c>
      <c r="G16" s="20" t="s">
        <v>782</v>
      </c>
      <c r="H16" s="20" t="s">
        <v>2950</v>
      </c>
      <c r="I16" s="20" t="s">
        <v>20</v>
      </c>
      <c r="J16" s="20" t="s">
        <v>2951</v>
      </c>
      <c r="K16" s="23" t="str">
        <f>HYPERLINK("http://slimages.macys.com/is/image/MCY/1150793 ")</f>
        <v xml:space="preserve">http://slimages.macys.com/is/image/MCY/1150793 </v>
      </c>
    </row>
    <row r="17" spans="1:11" ht="36" x14ac:dyDescent="0.25">
      <c r="A17" s="19" t="s">
        <v>2952</v>
      </c>
      <c r="B17" s="20" t="s">
        <v>2953</v>
      </c>
      <c r="C17" s="21">
        <v>1</v>
      </c>
      <c r="D17" s="22">
        <v>69.989999999999995</v>
      </c>
      <c r="E17" s="21">
        <v>505954</v>
      </c>
      <c r="F17" s="20" t="s">
        <v>78</v>
      </c>
      <c r="G17" s="20" t="s">
        <v>745</v>
      </c>
      <c r="H17" s="20" t="s">
        <v>2458</v>
      </c>
      <c r="I17" s="20" t="s">
        <v>110</v>
      </c>
      <c r="J17" s="20" t="s">
        <v>2954</v>
      </c>
      <c r="K17" s="23" t="str">
        <f>HYPERLINK("http://slimages.macys.com/is/image/MCY/10092200 ")</f>
        <v xml:space="preserve">http://slimages.macys.com/is/image/MCY/10092200 </v>
      </c>
    </row>
    <row r="18" spans="1:11" ht="36" x14ac:dyDescent="0.25">
      <c r="A18" s="19" t="s">
        <v>833</v>
      </c>
      <c r="B18" s="20" t="s">
        <v>834</v>
      </c>
      <c r="C18" s="21">
        <v>1</v>
      </c>
      <c r="D18" s="22">
        <v>59.99</v>
      </c>
      <c r="E18" s="21">
        <v>70081</v>
      </c>
      <c r="F18" s="20" t="s">
        <v>89</v>
      </c>
      <c r="G18" s="20" t="s">
        <v>782</v>
      </c>
      <c r="H18" s="20" t="s">
        <v>835</v>
      </c>
      <c r="I18" s="20" t="s">
        <v>20</v>
      </c>
      <c r="J18" s="20" t="s">
        <v>836</v>
      </c>
      <c r="K18" s="23" t="str">
        <f>HYPERLINK("http://slimages.macys.com/is/image/MCY/11443707 ")</f>
        <v xml:space="preserve">http://slimages.macys.com/is/image/MCY/11443707 </v>
      </c>
    </row>
    <row r="19" spans="1:11" ht="60" x14ac:dyDescent="0.25">
      <c r="A19" s="19" t="s">
        <v>2955</v>
      </c>
      <c r="B19" s="20" t="s">
        <v>2956</v>
      </c>
      <c r="C19" s="21">
        <v>2</v>
      </c>
      <c r="D19" s="22">
        <v>189.98</v>
      </c>
      <c r="E19" s="21" t="s">
        <v>2957</v>
      </c>
      <c r="F19" s="20" t="s">
        <v>755</v>
      </c>
      <c r="G19" s="20" t="s">
        <v>724</v>
      </c>
      <c r="H19" s="20" t="s">
        <v>725</v>
      </c>
      <c r="I19" s="20" t="s">
        <v>20</v>
      </c>
      <c r="J19" s="20" t="s">
        <v>2958</v>
      </c>
      <c r="K19" s="23" t="str">
        <f>HYPERLINK("http://slimages.macys.com/is/image/MCY/13121400 ")</f>
        <v xml:space="preserve">http://slimages.macys.com/is/image/MCY/13121400 </v>
      </c>
    </row>
    <row r="20" spans="1:11" ht="36" x14ac:dyDescent="0.25">
      <c r="A20" s="19" t="s">
        <v>2959</v>
      </c>
      <c r="B20" s="20" t="s">
        <v>2960</v>
      </c>
      <c r="C20" s="21">
        <v>1</v>
      </c>
      <c r="D20" s="22">
        <v>46.99</v>
      </c>
      <c r="E20" s="21" t="s">
        <v>2961</v>
      </c>
      <c r="F20" s="20" t="s">
        <v>289</v>
      </c>
      <c r="G20" s="20" t="s">
        <v>865</v>
      </c>
      <c r="H20" s="20" t="s">
        <v>2962</v>
      </c>
      <c r="I20" s="20" t="s">
        <v>20</v>
      </c>
      <c r="J20" s="20" t="s">
        <v>396</v>
      </c>
      <c r="K20" s="23" t="str">
        <f>HYPERLINK("http://slimages.macys.com/is/image/MCY/15605820 ")</f>
        <v xml:space="preserve">http://slimages.macys.com/is/image/MCY/15605820 </v>
      </c>
    </row>
    <row r="21" spans="1:11" ht="36" x14ac:dyDescent="0.25">
      <c r="A21" s="19" t="s">
        <v>2963</v>
      </c>
      <c r="B21" s="20" t="s">
        <v>2964</v>
      </c>
      <c r="C21" s="21">
        <v>1</v>
      </c>
      <c r="D21" s="22">
        <v>54.99</v>
      </c>
      <c r="E21" s="21" t="s">
        <v>2965</v>
      </c>
      <c r="F21" s="20" t="s">
        <v>89</v>
      </c>
      <c r="G21" s="20" t="s">
        <v>782</v>
      </c>
      <c r="H21" s="20" t="s">
        <v>1990</v>
      </c>
      <c r="I21" s="20"/>
      <c r="J21" s="20"/>
      <c r="K21" s="23" t="str">
        <f>HYPERLINK("http://slimages.macys.com/is/image/MCY/17546523 ")</f>
        <v xml:space="preserve">http://slimages.macys.com/is/image/MCY/17546523 </v>
      </c>
    </row>
    <row r="22" spans="1:11" ht="24" x14ac:dyDescent="0.25">
      <c r="A22" s="19" t="s">
        <v>2966</v>
      </c>
      <c r="B22" s="20" t="s">
        <v>2967</v>
      </c>
      <c r="C22" s="21">
        <v>2</v>
      </c>
      <c r="D22" s="22">
        <v>79.98</v>
      </c>
      <c r="E22" s="21">
        <v>17788</v>
      </c>
      <c r="F22" s="20" t="s">
        <v>54</v>
      </c>
      <c r="G22" s="20" t="s">
        <v>745</v>
      </c>
      <c r="H22" s="20" t="s">
        <v>879</v>
      </c>
      <c r="I22" s="20" t="s">
        <v>20</v>
      </c>
      <c r="J22" s="20" t="s">
        <v>396</v>
      </c>
      <c r="K22" s="23" t="str">
        <f>HYPERLINK("http://slimages.macys.com/is/image/MCY/9168709 ")</f>
        <v xml:space="preserve">http://slimages.macys.com/is/image/MCY/9168709 </v>
      </c>
    </row>
    <row r="23" spans="1:11" ht="36" x14ac:dyDescent="0.25">
      <c r="A23" s="19" t="s">
        <v>2968</v>
      </c>
      <c r="B23" s="20" t="s">
        <v>2969</v>
      </c>
      <c r="C23" s="21">
        <v>1</v>
      </c>
      <c r="D23" s="22">
        <v>39.99</v>
      </c>
      <c r="E23" s="21" t="s">
        <v>2970</v>
      </c>
      <c r="F23" s="20" t="s">
        <v>89</v>
      </c>
      <c r="G23" s="20" t="s">
        <v>782</v>
      </c>
      <c r="H23" s="20" t="s">
        <v>1533</v>
      </c>
      <c r="I23" s="20"/>
      <c r="J23" s="20"/>
      <c r="K23" s="23" t="str">
        <f>HYPERLINK("http://slimages.macys.com/is/image/MCY/17318958 ")</f>
        <v xml:space="preserve">http://slimages.macys.com/is/image/MCY/17318958 </v>
      </c>
    </row>
    <row r="24" spans="1:11" ht="36" x14ac:dyDescent="0.25">
      <c r="A24" s="19" t="s">
        <v>2971</v>
      </c>
      <c r="B24" s="20" t="s">
        <v>2972</v>
      </c>
      <c r="C24" s="21">
        <v>1</v>
      </c>
      <c r="D24" s="22">
        <v>49.99</v>
      </c>
      <c r="E24" s="21" t="s">
        <v>2973</v>
      </c>
      <c r="F24" s="20" t="s">
        <v>206</v>
      </c>
      <c r="G24" s="20" t="s">
        <v>1157</v>
      </c>
      <c r="H24" s="20" t="s">
        <v>2974</v>
      </c>
      <c r="I24" s="20" t="s">
        <v>20</v>
      </c>
      <c r="J24" s="20" t="s">
        <v>330</v>
      </c>
      <c r="K24" s="23" t="str">
        <f>HYPERLINK("http://slimages.macys.com/is/image/MCY/2620611 ")</f>
        <v xml:space="preserve">http://slimages.macys.com/is/image/MCY/2620611 </v>
      </c>
    </row>
    <row r="25" spans="1:11" ht="36" x14ac:dyDescent="0.25">
      <c r="A25" s="19" t="s">
        <v>2975</v>
      </c>
      <c r="B25" s="20" t="s">
        <v>2976</v>
      </c>
      <c r="C25" s="21">
        <v>1</v>
      </c>
      <c r="D25" s="22">
        <v>39.99</v>
      </c>
      <c r="E25" s="21" t="s">
        <v>2977</v>
      </c>
      <c r="F25" s="20" t="s">
        <v>89</v>
      </c>
      <c r="G25" s="20" t="s">
        <v>782</v>
      </c>
      <c r="H25" s="20" t="s">
        <v>1990</v>
      </c>
      <c r="I25" s="20"/>
      <c r="J25" s="20"/>
      <c r="K25" s="23" t="str">
        <f>HYPERLINK("http://slimages.macys.com/is/image/MCY/17546507 ")</f>
        <v xml:space="preserve">http://slimages.macys.com/is/image/MCY/17546507 </v>
      </c>
    </row>
    <row r="26" spans="1:11" ht="36" x14ac:dyDescent="0.25">
      <c r="A26" s="19" t="s">
        <v>2978</v>
      </c>
      <c r="B26" s="20" t="s">
        <v>2979</v>
      </c>
      <c r="C26" s="21">
        <v>1</v>
      </c>
      <c r="D26" s="22">
        <v>30.99</v>
      </c>
      <c r="E26" s="21" t="s">
        <v>2980</v>
      </c>
      <c r="F26" s="20" t="s">
        <v>159</v>
      </c>
      <c r="G26" s="20" t="s">
        <v>718</v>
      </c>
      <c r="H26" s="20" t="s">
        <v>1186</v>
      </c>
      <c r="I26" s="20" t="s">
        <v>20</v>
      </c>
      <c r="J26" s="20" t="s">
        <v>396</v>
      </c>
      <c r="K26" s="23" t="str">
        <f>HYPERLINK("http://slimages.macys.com/is/image/MCY/11205379 ")</f>
        <v xml:space="preserve">http://slimages.macys.com/is/image/MCY/11205379 </v>
      </c>
    </row>
    <row r="27" spans="1:11" ht="36" x14ac:dyDescent="0.25">
      <c r="A27" s="19" t="s">
        <v>2981</v>
      </c>
      <c r="B27" s="20" t="s">
        <v>2982</v>
      </c>
      <c r="C27" s="21">
        <v>1</v>
      </c>
      <c r="D27" s="22">
        <v>49.99</v>
      </c>
      <c r="E27" s="21">
        <v>130405</v>
      </c>
      <c r="F27" s="20" t="s">
        <v>2055</v>
      </c>
      <c r="G27" s="20" t="s">
        <v>1644</v>
      </c>
      <c r="H27" s="20" t="s">
        <v>2293</v>
      </c>
      <c r="I27" s="20" t="s">
        <v>20</v>
      </c>
      <c r="J27" s="20" t="s">
        <v>2983</v>
      </c>
      <c r="K27" s="23" t="str">
        <f>HYPERLINK("http://slimages.macys.com/is/image/MCY/15717993 ")</f>
        <v xml:space="preserve">http://slimages.macys.com/is/image/MCY/15717993 </v>
      </c>
    </row>
    <row r="28" spans="1:11" ht="60" x14ac:dyDescent="0.25">
      <c r="A28" s="19" t="s">
        <v>2984</v>
      </c>
      <c r="B28" s="20" t="s">
        <v>2985</v>
      </c>
      <c r="C28" s="21">
        <v>3</v>
      </c>
      <c r="D28" s="22">
        <v>89.97</v>
      </c>
      <c r="E28" s="21" t="s">
        <v>2986</v>
      </c>
      <c r="F28" s="20" t="s">
        <v>89</v>
      </c>
      <c r="G28" s="20" t="s">
        <v>831</v>
      </c>
      <c r="H28" s="20" t="s">
        <v>2987</v>
      </c>
      <c r="I28" s="20" t="s">
        <v>20</v>
      </c>
      <c r="J28" s="20" t="s">
        <v>2988</v>
      </c>
      <c r="K28" s="23" t="str">
        <f>HYPERLINK("http://slimages.macys.com/is/image/MCY/8986990 ")</f>
        <v xml:space="preserve">http://slimages.macys.com/is/image/MCY/8986990 </v>
      </c>
    </row>
    <row r="29" spans="1:11" ht="36" x14ac:dyDescent="0.25">
      <c r="A29" s="19" t="s">
        <v>2989</v>
      </c>
      <c r="B29" s="20" t="s">
        <v>2990</v>
      </c>
      <c r="C29" s="21">
        <v>1</v>
      </c>
      <c r="D29" s="22">
        <v>39.99</v>
      </c>
      <c r="E29" s="21">
        <v>10004047600</v>
      </c>
      <c r="F29" s="20" t="s">
        <v>555</v>
      </c>
      <c r="G29" s="20" t="s">
        <v>739</v>
      </c>
      <c r="H29" s="20" t="s">
        <v>1561</v>
      </c>
      <c r="I29" s="20" t="s">
        <v>132</v>
      </c>
      <c r="J29" s="20"/>
      <c r="K29" s="23" t="str">
        <f>HYPERLINK("http://slimages.macys.com/is/image/MCY/11390187 ")</f>
        <v xml:space="preserve">http://slimages.macys.com/is/image/MCY/11390187 </v>
      </c>
    </row>
    <row r="30" spans="1:11" ht="36" x14ac:dyDescent="0.25">
      <c r="A30" s="19" t="s">
        <v>2991</v>
      </c>
      <c r="B30" s="20" t="s">
        <v>2992</v>
      </c>
      <c r="C30" s="21">
        <v>1</v>
      </c>
      <c r="D30" s="22">
        <v>29.99</v>
      </c>
      <c r="E30" s="21" t="s">
        <v>2993</v>
      </c>
      <c r="F30" s="20" t="s">
        <v>1124</v>
      </c>
      <c r="G30" s="20" t="s">
        <v>718</v>
      </c>
      <c r="H30" s="20" t="s">
        <v>1624</v>
      </c>
      <c r="I30" s="20"/>
      <c r="J30" s="20"/>
      <c r="K30" s="23" t="str">
        <f>HYPERLINK("http://slimages.macys.com/is/image/MCY/17923602 ")</f>
        <v xml:space="preserve">http://slimages.macys.com/is/image/MCY/17923602 </v>
      </c>
    </row>
    <row r="31" spans="1:11" ht="36" x14ac:dyDescent="0.25">
      <c r="A31" s="19" t="s">
        <v>2994</v>
      </c>
      <c r="B31" s="20" t="s">
        <v>2995</v>
      </c>
      <c r="C31" s="21">
        <v>2</v>
      </c>
      <c r="D31" s="22">
        <v>59.98</v>
      </c>
      <c r="E31" s="21" t="s">
        <v>2996</v>
      </c>
      <c r="F31" s="20" t="s">
        <v>89</v>
      </c>
      <c r="G31" s="20" t="s">
        <v>724</v>
      </c>
      <c r="H31" s="20" t="s">
        <v>1066</v>
      </c>
      <c r="I31" s="20"/>
      <c r="J31" s="20"/>
      <c r="K31" s="23" t="str">
        <f>HYPERLINK("http://slimages.macys.com/is/image/MCY/18753178 ")</f>
        <v xml:space="preserve">http://slimages.macys.com/is/image/MCY/18753178 </v>
      </c>
    </row>
    <row r="32" spans="1:11" ht="48" x14ac:dyDescent="0.25">
      <c r="A32" s="19" t="s">
        <v>2997</v>
      </c>
      <c r="B32" s="20" t="s">
        <v>2998</v>
      </c>
      <c r="C32" s="21">
        <v>2</v>
      </c>
      <c r="D32" s="22">
        <v>69.98</v>
      </c>
      <c r="E32" s="21" t="s">
        <v>2999</v>
      </c>
      <c r="F32" s="20" t="s">
        <v>89</v>
      </c>
      <c r="G32" s="20" t="s">
        <v>1673</v>
      </c>
      <c r="H32" s="20" t="s">
        <v>1674</v>
      </c>
      <c r="I32" s="20"/>
      <c r="J32" s="20"/>
      <c r="K32" s="23" t="str">
        <f>HYPERLINK("http://slimages.macys.com/is/image/MCY/18941501 ")</f>
        <v xml:space="preserve">http://slimages.macys.com/is/image/MCY/18941501 </v>
      </c>
    </row>
    <row r="33" spans="1:11" ht="48" x14ac:dyDescent="0.25">
      <c r="A33" s="19" t="s">
        <v>3000</v>
      </c>
      <c r="B33" s="20" t="s">
        <v>3001</v>
      </c>
      <c r="C33" s="21">
        <v>2</v>
      </c>
      <c r="D33" s="22">
        <v>59.98</v>
      </c>
      <c r="E33" s="21" t="s">
        <v>3002</v>
      </c>
      <c r="F33" s="20" t="s">
        <v>394</v>
      </c>
      <c r="G33" s="20" t="s">
        <v>1673</v>
      </c>
      <c r="H33" s="20" t="s">
        <v>1674</v>
      </c>
      <c r="I33" s="20"/>
      <c r="J33" s="20"/>
      <c r="K33" s="23" t="str">
        <f>HYPERLINK("http://slimages.macys.com/is/image/MCY/16633339 ")</f>
        <v xml:space="preserve">http://slimages.macys.com/is/image/MCY/16633339 </v>
      </c>
    </row>
    <row r="34" spans="1:11" ht="36" x14ac:dyDescent="0.25">
      <c r="A34" s="19" t="s">
        <v>1631</v>
      </c>
      <c r="B34" s="20" t="s">
        <v>1632</v>
      </c>
      <c r="C34" s="21">
        <v>1</v>
      </c>
      <c r="D34" s="22">
        <v>16.989999999999998</v>
      </c>
      <c r="E34" s="21" t="s">
        <v>1633</v>
      </c>
      <c r="F34" s="20" t="s">
        <v>604</v>
      </c>
      <c r="G34" s="20" t="s">
        <v>916</v>
      </c>
      <c r="H34" s="20" t="s">
        <v>917</v>
      </c>
      <c r="I34" s="20" t="s">
        <v>20</v>
      </c>
      <c r="J34" s="20" t="s">
        <v>798</v>
      </c>
      <c r="K34" s="23" t="str">
        <f>HYPERLINK("http://slimages.macys.com/is/image/MCY/12737864 ")</f>
        <v xml:space="preserve">http://slimages.macys.com/is/image/MCY/12737864 </v>
      </c>
    </row>
    <row r="35" spans="1:11" ht="36" x14ac:dyDescent="0.25">
      <c r="A35" s="19" t="s">
        <v>3003</v>
      </c>
      <c r="B35" s="20" t="s">
        <v>3004</v>
      </c>
      <c r="C35" s="21">
        <v>2</v>
      </c>
      <c r="D35" s="22">
        <v>15.98</v>
      </c>
      <c r="E35" s="21" t="s">
        <v>3005</v>
      </c>
      <c r="F35" s="20"/>
      <c r="G35" s="20" t="s">
        <v>940</v>
      </c>
      <c r="H35" s="20" t="s">
        <v>1166</v>
      </c>
      <c r="I35" s="20"/>
      <c r="J35" s="20"/>
      <c r="K35" s="23" t="str">
        <f>HYPERLINK("http://slimages.macys.com/is/image/MCY/14662026 ")</f>
        <v xml:space="preserve">http://slimages.macys.com/is/image/MCY/14662026 </v>
      </c>
    </row>
    <row r="36" spans="1:11" ht="36" x14ac:dyDescent="0.25">
      <c r="A36" s="19" t="s">
        <v>3006</v>
      </c>
      <c r="B36" s="20" t="s">
        <v>3007</v>
      </c>
      <c r="C36" s="21">
        <v>1</v>
      </c>
      <c r="D36" s="22">
        <v>10.99</v>
      </c>
      <c r="E36" s="21" t="s">
        <v>3008</v>
      </c>
      <c r="F36" s="20" t="s">
        <v>89</v>
      </c>
      <c r="G36" s="20" t="s">
        <v>745</v>
      </c>
      <c r="H36" s="20" t="s">
        <v>2742</v>
      </c>
      <c r="I36" s="20" t="s">
        <v>20</v>
      </c>
      <c r="J36" s="20" t="s">
        <v>396</v>
      </c>
      <c r="K36" s="23" t="str">
        <f>HYPERLINK("http://slimages.macys.com/is/image/MCY/935272 ")</f>
        <v xml:space="preserve">http://slimages.macys.com/is/image/MCY/935272 </v>
      </c>
    </row>
    <row r="37" spans="1:11" ht="36" x14ac:dyDescent="0.25">
      <c r="A37" s="19" t="s">
        <v>3009</v>
      </c>
      <c r="B37" s="20" t="s">
        <v>3010</v>
      </c>
      <c r="C37" s="21">
        <v>1</v>
      </c>
      <c r="D37" s="22">
        <v>12.99</v>
      </c>
      <c r="E37" s="21" t="s">
        <v>3011</v>
      </c>
      <c r="F37" s="20" t="s">
        <v>604</v>
      </c>
      <c r="G37" s="20" t="s">
        <v>916</v>
      </c>
      <c r="H37" s="20" t="s">
        <v>917</v>
      </c>
      <c r="I37" s="20" t="s">
        <v>20</v>
      </c>
      <c r="J37" s="20" t="s">
        <v>798</v>
      </c>
      <c r="K37" s="23" t="str">
        <f>HYPERLINK("http://slimages.macys.com/is/image/MCY/12737814 ")</f>
        <v xml:space="preserve">http://slimages.macys.com/is/image/MCY/12737814 </v>
      </c>
    </row>
    <row r="38" spans="1:11" ht="36" x14ac:dyDescent="0.25">
      <c r="A38" s="19" t="s">
        <v>1780</v>
      </c>
      <c r="B38" s="20" t="s">
        <v>1781</v>
      </c>
      <c r="C38" s="21">
        <v>1</v>
      </c>
      <c r="D38" s="22">
        <v>7.99</v>
      </c>
      <c r="E38" s="21" t="s">
        <v>1782</v>
      </c>
      <c r="F38" s="20" t="s">
        <v>106</v>
      </c>
      <c r="G38" s="20" t="s">
        <v>916</v>
      </c>
      <c r="H38" s="20" t="s">
        <v>917</v>
      </c>
      <c r="I38" s="20" t="s">
        <v>20</v>
      </c>
      <c r="J38" s="20" t="s">
        <v>798</v>
      </c>
      <c r="K38" s="23" t="str">
        <f>HYPERLINK("http://slimages.macys.com/is/image/MCY/12737732 ")</f>
        <v xml:space="preserve">http://slimages.macys.com/is/image/MCY/12737732 </v>
      </c>
    </row>
    <row r="39" spans="1:11" ht="36" x14ac:dyDescent="0.25">
      <c r="A39" s="19" t="s">
        <v>3012</v>
      </c>
      <c r="B39" s="20" t="s">
        <v>3013</v>
      </c>
      <c r="C39" s="21">
        <v>1</v>
      </c>
      <c r="D39" s="22">
        <v>179.99</v>
      </c>
      <c r="E39" s="21">
        <v>2000001214</v>
      </c>
      <c r="F39" s="20" t="s">
        <v>89</v>
      </c>
      <c r="G39" s="20" t="s">
        <v>712</v>
      </c>
      <c r="H39" s="20" t="s">
        <v>1092</v>
      </c>
      <c r="I39" s="20"/>
      <c r="J39" s="20"/>
      <c r="K39" s="23"/>
    </row>
    <row r="40" spans="1:11" ht="36" x14ac:dyDescent="0.25">
      <c r="A40" s="19" t="s">
        <v>3014</v>
      </c>
      <c r="B40" s="20" t="s">
        <v>3015</v>
      </c>
      <c r="C40" s="21">
        <v>1</v>
      </c>
      <c r="D40" s="22">
        <v>199.99</v>
      </c>
      <c r="E40" s="21" t="s">
        <v>3016</v>
      </c>
      <c r="F40" s="20" t="s">
        <v>394</v>
      </c>
      <c r="G40" s="20" t="s">
        <v>707</v>
      </c>
      <c r="H40" s="20" t="s">
        <v>1868</v>
      </c>
      <c r="I40" s="20"/>
      <c r="J40" s="20"/>
      <c r="K40" s="23"/>
    </row>
    <row r="41" spans="1:11" ht="24" x14ac:dyDescent="0.25">
      <c r="A41" s="19" t="s">
        <v>1019</v>
      </c>
      <c r="B41" s="20" t="s">
        <v>694</v>
      </c>
      <c r="C41" s="21">
        <v>1</v>
      </c>
      <c r="D41" s="22">
        <v>40</v>
      </c>
      <c r="E41" s="21"/>
      <c r="F41" s="20" t="s">
        <v>16</v>
      </c>
      <c r="G41" s="20" t="s">
        <v>695</v>
      </c>
      <c r="H41" s="20" t="s">
        <v>696</v>
      </c>
      <c r="I41" s="20"/>
      <c r="J41" s="20"/>
      <c r="K41" s="23"/>
    </row>
    <row r="42" spans="1:11" ht="36" x14ac:dyDescent="0.25">
      <c r="A42" s="19" t="s">
        <v>3017</v>
      </c>
      <c r="B42" s="20" t="s">
        <v>3018</v>
      </c>
      <c r="C42" s="21">
        <v>1</v>
      </c>
      <c r="D42" s="22">
        <v>44.99</v>
      </c>
      <c r="E42" s="21" t="s">
        <v>3019</v>
      </c>
      <c r="F42" s="20" t="s">
        <v>89</v>
      </c>
      <c r="G42" s="20" t="s">
        <v>782</v>
      </c>
      <c r="H42" s="20" t="s">
        <v>2293</v>
      </c>
      <c r="I42" s="20"/>
      <c r="J42" s="20"/>
      <c r="K42" s="23"/>
    </row>
    <row r="43" spans="1:11" ht="36" x14ac:dyDescent="0.25">
      <c r="A43" s="19" t="s">
        <v>3020</v>
      </c>
      <c r="B43" s="20" t="s">
        <v>3021</v>
      </c>
      <c r="C43" s="21">
        <v>1</v>
      </c>
      <c r="D43" s="22">
        <v>9.99</v>
      </c>
      <c r="E43" s="21">
        <v>1009933300</v>
      </c>
      <c r="F43" s="20" t="s">
        <v>3022</v>
      </c>
      <c r="G43" s="20" t="s">
        <v>916</v>
      </c>
      <c r="H43" s="20" t="s">
        <v>1561</v>
      </c>
      <c r="I43" s="20"/>
      <c r="J43" s="20"/>
      <c r="K43" s="23"/>
    </row>
    <row r="44" spans="1:11" x14ac:dyDescent="0.25">
      <c r="A44" s="4"/>
      <c r="B44" s="5"/>
      <c r="C44" s="6"/>
      <c r="D44" s="7"/>
      <c r="E44" s="6"/>
      <c r="F44" s="5"/>
      <c r="G44" s="5"/>
      <c r="H44" s="5"/>
      <c r="I44" s="5"/>
      <c r="J44" s="5"/>
      <c r="K44" s="9"/>
    </row>
    <row r="45" spans="1:11" x14ac:dyDescent="0.25">
      <c r="A45" s="4"/>
      <c r="B45" s="5"/>
      <c r="C45" s="6"/>
      <c r="D45" s="7"/>
      <c r="E45" s="6"/>
      <c r="F45" s="5"/>
      <c r="G45" s="5"/>
      <c r="H45" s="5"/>
      <c r="I45" s="5"/>
      <c r="J45" s="5"/>
      <c r="K45" s="9"/>
    </row>
    <row r="46" spans="1:11" x14ac:dyDescent="0.25">
      <c r="A46" s="4"/>
      <c r="B46" s="5"/>
      <c r="C46" s="6"/>
      <c r="D46" s="7"/>
      <c r="E46" s="6"/>
      <c r="F46" s="5"/>
      <c r="G46" s="5"/>
      <c r="H46" s="5"/>
      <c r="I46" s="5"/>
      <c r="J46" s="5"/>
      <c r="K46" s="9"/>
    </row>
    <row r="47" spans="1:11" x14ac:dyDescent="0.25">
      <c r="A47" s="4"/>
      <c r="B47" s="5"/>
      <c r="C47" s="6"/>
      <c r="D47" s="7"/>
      <c r="E47" s="6"/>
      <c r="F47" s="5"/>
      <c r="G47" s="5"/>
      <c r="H47" s="5"/>
      <c r="I47" s="5"/>
      <c r="J47" s="5"/>
      <c r="K47" s="9"/>
    </row>
    <row r="48" spans="1:11" x14ac:dyDescent="0.25">
      <c r="A48" s="4"/>
      <c r="B48" s="5"/>
      <c r="C48" s="6"/>
      <c r="D48" s="7"/>
      <c r="E48" s="6"/>
      <c r="F48" s="5"/>
      <c r="G48" s="5"/>
      <c r="H48" s="5"/>
      <c r="I48" s="5"/>
      <c r="J48" s="5"/>
      <c r="K48" s="9"/>
    </row>
    <row r="49" spans="1:11" x14ac:dyDescent="0.25">
      <c r="A49" s="4"/>
      <c r="B49" s="5"/>
      <c r="C49" s="6"/>
      <c r="D49" s="7"/>
      <c r="E49" s="6"/>
      <c r="F49" s="5"/>
      <c r="G49" s="5"/>
      <c r="H49" s="5"/>
      <c r="I49" s="5"/>
      <c r="J49" s="5"/>
      <c r="K49" s="9"/>
    </row>
    <row r="50" spans="1:11" x14ac:dyDescent="0.25">
      <c r="A50" s="4"/>
      <c r="B50" s="5"/>
      <c r="C50" s="6"/>
      <c r="D50" s="7"/>
      <c r="E50" s="6"/>
      <c r="F50" s="5"/>
      <c r="G50" s="5"/>
      <c r="H50" s="5"/>
      <c r="I50" s="5"/>
      <c r="J50" s="5"/>
      <c r="K50" s="9"/>
    </row>
    <row r="51" spans="1:11" x14ac:dyDescent="0.25">
      <c r="A51" s="4"/>
      <c r="B51" s="5"/>
      <c r="C51" s="6"/>
      <c r="D51" s="7"/>
      <c r="E51" s="6"/>
      <c r="F51" s="5"/>
      <c r="G51" s="5"/>
      <c r="H51" s="5"/>
      <c r="I51" s="5"/>
      <c r="J51" s="5"/>
      <c r="K51" s="9"/>
    </row>
    <row r="52" spans="1:11" x14ac:dyDescent="0.25">
      <c r="A52" s="4"/>
      <c r="B52" s="5"/>
      <c r="C52" s="6"/>
      <c r="D52" s="7"/>
      <c r="E52" s="6"/>
      <c r="F52" s="5"/>
      <c r="G52" s="5"/>
      <c r="H52" s="5"/>
      <c r="I52" s="5"/>
      <c r="J52" s="5"/>
      <c r="K52" s="9"/>
    </row>
    <row r="53" spans="1:11" x14ac:dyDescent="0.25">
      <c r="A53" s="4"/>
      <c r="B53" s="5"/>
      <c r="C53" s="6"/>
      <c r="D53" s="7"/>
      <c r="E53" s="6"/>
      <c r="F53" s="5"/>
      <c r="G53" s="5"/>
      <c r="H53" s="5"/>
      <c r="I53" s="5"/>
      <c r="J53" s="5"/>
      <c r="K53" s="9"/>
    </row>
    <row r="54" spans="1:11" x14ac:dyDescent="0.25">
      <c r="A54" s="4"/>
      <c r="B54" s="5"/>
      <c r="C54" s="6"/>
      <c r="D54" s="7"/>
      <c r="E54" s="6"/>
      <c r="F54" s="5"/>
      <c r="G54" s="5"/>
      <c r="H54" s="5"/>
      <c r="I54" s="5"/>
      <c r="J54" s="5"/>
      <c r="K54" s="9"/>
    </row>
    <row r="55" spans="1:11" x14ac:dyDescent="0.25">
      <c r="A55" s="4"/>
      <c r="B55" s="5"/>
      <c r="C55" s="6"/>
      <c r="D55" s="7"/>
      <c r="E55" s="6"/>
      <c r="F55" s="5"/>
      <c r="G55" s="5"/>
      <c r="H55" s="5"/>
      <c r="I55" s="5"/>
      <c r="J55" s="5"/>
      <c r="K55" s="9"/>
    </row>
    <row r="56" spans="1:11" x14ac:dyDescent="0.25">
      <c r="A56" s="4"/>
      <c r="B56" s="5"/>
      <c r="C56" s="6"/>
      <c r="D56" s="7"/>
      <c r="E56" s="6"/>
      <c r="F56" s="5"/>
      <c r="G56" s="5"/>
      <c r="H56" s="5"/>
      <c r="I56" s="5"/>
      <c r="J56" s="5"/>
      <c r="K56" s="9"/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5"/>
  <sheetViews>
    <sheetView workbookViewId="0"/>
  </sheetViews>
  <sheetFormatPr defaultRowHeight="15" x14ac:dyDescent="0.25"/>
  <cols>
    <col min="1" max="1" width="14.28515625" customWidth="1"/>
    <col min="2" max="2" width="22.28515625" customWidth="1"/>
    <col min="3" max="3" width="15" customWidth="1"/>
    <col min="4" max="4" width="10.28515625" customWidth="1"/>
    <col min="5" max="5" width="17.140625" customWidth="1"/>
    <col min="6" max="6" width="11.42578125" customWidth="1"/>
    <col min="7" max="7" width="10.85546875" customWidth="1"/>
    <col min="8" max="8" width="12.140625" customWidth="1"/>
    <col min="9" max="9" width="36.5703125" bestFit="1" customWidth="1"/>
    <col min="10" max="11" width="20.7109375" customWidth="1"/>
    <col min="12" max="12" width="64.28515625" customWidth="1"/>
  </cols>
  <sheetData>
    <row r="1" spans="1:12" ht="39.950000000000003" customHeight="1" x14ac:dyDescent="0.25">
      <c r="A1" s="3" t="s">
        <v>2</v>
      </c>
      <c r="B1" s="3" t="s">
        <v>3</v>
      </c>
      <c r="C1" s="3" t="s">
        <v>4</v>
      </c>
      <c r="D1" s="3" t="s">
        <v>5</v>
      </c>
      <c r="E1" s="3" t="s">
        <v>6</v>
      </c>
      <c r="F1" s="3" t="s">
        <v>7</v>
      </c>
      <c r="G1" s="3" t="s">
        <v>8</v>
      </c>
      <c r="H1" s="3" t="s">
        <v>9</v>
      </c>
      <c r="I1" s="3" t="s">
        <v>10</v>
      </c>
      <c r="J1" s="3" t="s">
        <v>11</v>
      </c>
      <c r="K1" s="3" t="s">
        <v>12</v>
      </c>
      <c r="L1" s="3" t="s">
        <v>13</v>
      </c>
    </row>
    <row r="2" spans="1:12" ht="39.950000000000003" customHeight="1" x14ac:dyDescent="0.25">
      <c r="A2" s="4" t="s">
        <v>3023</v>
      </c>
      <c r="B2" s="5" t="s">
        <v>3024</v>
      </c>
      <c r="C2" s="6">
        <v>1</v>
      </c>
      <c r="D2" s="7">
        <v>238.99</v>
      </c>
      <c r="E2" s="6" t="s">
        <v>3025</v>
      </c>
      <c r="F2" s="5" t="s">
        <v>54</v>
      </c>
      <c r="G2" s="8"/>
      <c r="H2" s="5" t="s">
        <v>718</v>
      </c>
      <c r="I2" s="5" t="s">
        <v>3026</v>
      </c>
      <c r="J2" s="5" t="s">
        <v>20</v>
      </c>
      <c r="K2" s="5" t="s">
        <v>3027</v>
      </c>
      <c r="L2" s="9" t="str">
        <f>HYPERLINK("http://slimages.macys.com/is/image/MCY/11175992 ")</f>
        <v xml:space="preserve">http://slimages.macys.com/is/image/MCY/11175992 </v>
      </c>
    </row>
    <row r="3" spans="1:12" ht="39.950000000000003" customHeight="1" x14ac:dyDescent="0.25">
      <c r="A3" s="4" t="s">
        <v>3028</v>
      </c>
      <c r="B3" s="5" t="s">
        <v>3029</v>
      </c>
      <c r="C3" s="6">
        <v>1</v>
      </c>
      <c r="D3" s="7">
        <v>299.99</v>
      </c>
      <c r="E3" s="6" t="s">
        <v>3030</v>
      </c>
      <c r="F3" s="5" t="s">
        <v>89</v>
      </c>
      <c r="G3" s="8" t="s">
        <v>1486</v>
      </c>
      <c r="H3" s="5" t="s">
        <v>707</v>
      </c>
      <c r="I3" s="5" t="s">
        <v>1110</v>
      </c>
      <c r="J3" s="5"/>
      <c r="K3" s="5"/>
      <c r="L3" s="9" t="str">
        <f>HYPERLINK("http://slimages.macys.com/is/image/MCY/16860917 ")</f>
        <v xml:space="preserve">http://slimages.macys.com/is/image/MCY/16860917 </v>
      </c>
    </row>
    <row r="4" spans="1:12" ht="39.950000000000003" customHeight="1" x14ac:dyDescent="0.25">
      <c r="A4" s="4" t="s">
        <v>3031</v>
      </c>
      <c r="B4" s="5" t="s">
        <v>2477</v>
      </c>
      <c r="C4" s="6">
        <v>1</v>
      </c>
      <c r="D4" s="7">
        <v>279.99</v>
      </c>
      <c r="E4" s="6" t="s">
        <v>3032</v>
      </c>
      <c r="F4" s="5" t="s">
        <v>628</v>
      </c>
      <c r="G4" s="8"/>
      <c r="H4" s="5" t="s">
        <v>707</v>
      </c>
      <c r="I4" s="5" t="s">
        <v>874</v>
      </c>
      <c r="J4" s="5" t="s">
        <v>20</v>
      </c>
      <c r="K4" s="5" t="s">
        <v>3033</v>
      </c>
      <c r="L4" s="9" t="str">
        <f>HYPERLINK("http://slimages.macys.com/is/image/MCY/15767048 ")</f>
        <v xml:space="preserve">http://slimages.macys.com/is/image/MCY/15767048 </v>
      </c>
    </row>
    <row r="5" spans="1:12" ht="39.950000000000003" customHeight="1" x14ac:dyDescent="0.25">
      <c r="A5" s="4" t="s">
        <v>3034</v>
      </c>
      <c r="B5" s="5" t="s">
        <v>3035</v>
      </c>
      <c r="C5" s="6">
        <v>1</v>
      </c>
      <c r="D5" s="7">
        <v>249.99</v>
      </c>
      <c r="E5" s="6" t="s">
        <v>3036</v>
      </c>
      <c r="F5" s="5" t="s">
        <v>89</v>
      </c>
      <c r="G5" s="8"/>
      <c r="H5" s="5" t="s">
        <v>707</v>
      </c>
      <c r="I5" s="5" t="s">
        <v>874</v>
      </c>
      <c r="J5" s="5" t="s">
        <v>20</v>
      </c>
      <c r="K5" s="5" t="s">
        <v>3037</v>
      </c>
      <c r="L5" s="9" t="str">
        <f>HYPERLINK("http://slimages.macys.com/is/image/MCY/16381596 ")</f>
        <v xml:space="preserve">http://slimages.macys.com/is/image/MCY/16381596 </v>
      </c>
    </row>
    <row r="6" spans="1:12" ht="39.950000000000003" customHeight="1" x14ac:dyDescent="0.25">
      <c r="A6" s="4" t="s">
        <v>3038</v>
      </c>
      <c r="B6" s="5" t="s">
        <v>3039</v>
      </c>
      <c r="C6" s="6">
        <v>1</v>
      </c>
      <c r="D6" s="7">
        <v>279.99</v>
      </c>
      <c r="E6" s="6" t="s">
        <v>3040</v>
      </c>
      <c r="F6" s="5" t="s">
        <v>289</v>
      </c>
      <c r="G6" s="8"/>
      <c r="H6" s="5" t="s">
        <v>707</v>
      </c>
      <c r="I6" s="5" t="s">
        <v>874</v>
      </c>
      <c r="J6" s="5"/>
      <c r="K6" s="5"/>
      <c r="L6" s="9" t="str">
        <f>HYPERLINK("http://slimages.macys.com/is/image/MCY/18613770 ")</f>
        <v xml:space="preserve">http://slimages.macys.com/is/image/MCY/18613770 </v>
      </c>
    </row>
    <row r="7" spans="1:12" ht="39.950000000000003" customHeight="1" x14ac:dyDescent="0.25">
      <c r="A7" s="4" t="s">
        <v>3041</v>
      </c>
      <c r="B7" s="5" t="s">
        <v>3042</v>
      </c>
      <c r="C7" s="6">
        <v>1</v>
      </c>
      <c r="D7" s="7">
        <v>199.99</v>
      </c>
      <c r="E7" s="6" t="s">
        <v>3043</v>
      </c>
      <c r="F7" s="5" t="s">
        <v>922</v>
      </c>
      <c r="G7" s="8"/>
      <c r="H7" s="5" t="s">
        <v>707</v>
      </c>
      <c r="I7" s="5" t="s">
        <v>874</v>
      </c>
      <c r="J7" s="5" t="s">
        <v>20</v>
      </c>
      <c r="K7" s="5"/>
      <c r="L7" s="9" t="str">
        <f>HYPERLINK("http://slimages.macys.com/is/image/MCY/10467368 ")</f>
        <v xml:space="preserve">http://slimages.macys.com/is/image/MCY/10467368 </v>
      </c>
    </row>
    <row r="8" spans="1:12" ht="39.950000000000003" customHeight="1" x14ac:dyDescent="0.25">
      <c r="A8" s="4" t="s">
        <v>3044</v>
      </c>
      <c r="B8" s="5" t="s">
        <v>3045</v>
      </c>
      <c r="C8" s="6">
        <v>1</v>
      </c>
      <c r="D8" s="7">
        <v>199.99</v>
      </c>
      <c r="E8" s="6" t="s">
        <v>3046</v>
      </c>
      <c r="F8" s="5" t="s">
        <v>89</v>
      </c>
      <c r="G8" s="8"/>
      <c r="H8" s="5" t="s">
        <v>707</v>
      </c>
      <c r="I8" s="5" t="s">
        <v>874</v>
      </c>
      <c r="J8" s="5" t="s">
        <v>20</v>
      </c>
      <c r="K8" s="5" t="s">
        <v>751</v>
      </c>
      <c r="L8" s="9" t="str">
        <f>HYPERLINK("http://slimages.macys.com/is/image/MCY/9353024 ")</f>
        <v xml:space="preserve">http://slimages.macys.com/is/image/MCY/9353024 </v>
      </c>
    </row>
    <row r="9" spans="1:12" ht="39.950000000000003" customHeight="1" x14ac:dyDescent="0.25">
      <c r="A9" s="4" t="s">
        <v>3047</v>
      </c>
      <c r="B9" s="5" t="s">
        <v>3048</v>
      </c>
      <c r="C9" s="6">
        <v>1</v>
      </c>
      <c r="D9" s="7">
        <v>113.1</v>
      </c>
      <c r="E9" s="6" t="s">
        <v>3049</v>
      </c>
      <c r="F9" s="5" t="s">
        <v>759</v>
      </c>
      <c r="G9" s="8" t="s">
        <v>3050</v>
      </c>
      <c r="H9" s="5" t="s">
        <v>831</v>
      </c>
      <c r="I9" s="5" t="s">
        <v>832</v>
      </c>
      <c r="J9" s="5"/>
      <c r="K9" s="5"/>
      <c r="L9" s="9" t="str">
        <f>HYPERLINK("http://slimages.macys.com/is/image/MCY/17926566 ")</f>
        <v xml:space="preserve">http://slimages.macys.com/is/image/MCY/17926566 </v>
      </c>
    </row>
    <row r="10" spans="1:12" ht="39.950000000000003" customHeight="1" x14ac:dyDescent="0.25">
      <c r="A10" s="4" t="s">
        <v>3051</v>
      </c>
      <c r="B10" s="5" t="s">
        <v>3052</v>
      </c>
      <c r="C10" s="6">
        <v>2</v>
      </c>
      <c r="D10" s="7">
        <v>319.98</v>
      </c>
      <c r="E10" s="6" t="s">
        <v>3053</v>
      </c>
      <c r="F10" s="5" t="s">
        <v>674</v>
      </c>
      <c r="G10" s="8"/>
      <c r="H10" s="5" t="s">
        <v>1673</v>
      </c>
      <c r="I10" s="5" t="s">
        <v>1674</v>
      </c>
      <c r="J10" s="5"/>
      <c r="K10" s="5"/>
      <c r="L10" s="9" t="str">
        <f>HYPERLINK("http://slimages.macys.com/is/image/MCY/17450486 ")</f>
        <v xml:space="preserve">http://slimages.macys.com/is/image/MCY/17450486 </v>
      </c>
    </row>
    <row r="11" spans="1:12" ht="39.950000000000003" customHeight="1" x14ac:dyDescent="0.25">
      <c r="A11" s="4" t="s">
        <v>3054</v>
      </c>
      <c r="B11" s="5" t="s">
        <v>3055</v>
      </c>
      <c r="C11" s="6">
        <v>1</v>
      </c>
      <c r="D11" s="7">
        <v>119.99</v>
      </c>
      <c r="E11" s="6" t="s">
        <v>3056</v>
      </c>
      <c r="F11" s="5" t="s">
        <v>610</v>
      </c>
      <c r="G11" s="8"/>
      <c r="H11" s="5" t="s">
        <v>734</v>
      </c>
      <c r="I11" s="5" t="s">
        <v>3057</v>
      </c>
      <c r="J11" s="5" t="s">
        <v>20</v>
      </c>
      <c r="K11" s="5" t="s">
        <v>1822</v>
      </c>
      <c r="L11" s="9" t="str">
        <f>HYPERLINK("http://slimages.macys.com/is/image/MCY/13785395 ")</f>
        <v xml:space="preserve">http://slimages.macys.com/is/image/MCY/13785395 </v>
      </c>
    </row>
    <row r="12" spans="1:12" ht="39.950000000000003" customHeight="1" x14ac:dyDescent="0.25">
      <c r="A12" s="4" t="s">
        <v>3058</v>
      </c>
      <c r="B12" s="5" t="s">
        <v>3059</v>
      </c>
      <c r="C12" s="6">
        <v>1</v>
      </c>
      <c r="D12" s="7">
        <v>119.99</v>
      </c>
      <c r="E12" s="6" t="s">
        <v>3060</v>
      </c>
      <c r="F12" s="5" t="s">
        <v>600</v>
      </c>
      <c r="G12" s="8"/>
      <c r="H12" s="5" t="s">
        <v>772</v>
      </c>
      <c r="I12" s="5" t="s">
        <v>773</v>
      </c>
      <c r="J12" s="5" t="s">
        <v>20</v>
      </c>
      <c r="K12" s="5" t="s">
        <v>341</v>
      </c>
      <c r="L12" s="9" t="str">
        <f>HYPERLINK("http://slimages.macys.com/is/image/MCY/11607139 ")</f>
        <v xml:space="preserve">http://slimages.macys.com/is/image/MCY/11607139 </v>
      </c>
    </row>
    <row r="13" spans="1:12" ht="39.950000000000003" customHeight="1" x14ac:dyDescent="0.25">
      <c r="A13" s="4" t="s">
        <v>3061</v>
      </c>
      <c r="B13" s="5" t="s">
        <v>3062</v>
      </c>
      <c r="C13" s="6">
        <v>1</v>
      </c>
      <c r="D13" s="7">
        <v>119.99</v>
      </c>
      <c r="E13" s="6" t="s">
        <v>3063</v>
      </c>
      <c r="F13" s="5" t="s">
        <v>2196</v>
      </c>
      <c r="G13" s="8"/>
      <c r="H13" s="5" t="s">
        <v>772</v>
      </c>
      <c r="I13" s="5" t="s">
        <v>773</v>
      </c>
      <c r="J13" s="5" t="s">
        <v>20</v>
      </c>
      <c r="K13" s="5" t="s">
        <v>341</v>
      </c>
      <c r="L13" s="9" t="str">
        <f>HYPERLINK("http://slimages.macys.com/is/image/MCY/11607139 ")</f>
        <v xml:space="preserve">http://slimages.macys.com/is/image/MCY/11607139 </v>
      </c>
    </row>
    <row r="14" spans="1:12" ht="39.950000000000003" customHeight="1" x14ac:dyDescent="0.25">
      <c r="A14" s="4" t="s">
        <v>2291</v>
      </c>
      <c r="B14" s="5" t="s">
        <v>2292</v>
      </c>
      <c r="C14" s="6">
        <v>3</v>
      </c>
      <c r="D14" s="7">
        <v>149.97</v>
      </c>
      <c r="E14" s="6">
        <v>4403</v>
      </c>
      <c r="F14" s="5" t="s">
        <v>89</v>
      </c>
      <c r="G14" s="8" t="s">
        <v>1486</v>
      </c>
      <c r="H14" s="5" t="s">
        <v>1644</v>
      </c>
      <c r="I14" s="5" t="s">
        <v>2293</v>
      </c>
      <c r="J14" s="5" t="s">
        <v>20</v>
      </c>
      <c r="K14" s="5" t="s">
        <v>2294</v>
      </c>
      <c r="L14" s="9" t="str">
        <f>HYPERLINK("http://slimages.macys.com/is/image/MCY/9873929 ")</f>
        <v xml:space="preserve">http://slimages.macys.com/is/image/MCY/9873929 </v>
      </c>
    </row>
    <row r="15" spans="1:12" ht="39.950000000000003" customHeight="1" x14ac:dyDescent="0.25">
      <c r="A15" s="4" t="s">
        <v>3064</v>
      </c>
      <c r="B15" s="5" t="s">
        <v>3065</v>
      </c>
      <c r="C15" s="6">
        <v>1</v>
      </c>
      <c r="D15" s="7">
        <v>120.99</v>
      </c>
      <c r="E15" s="6" t="s">
        <v>3066</v>
      </c>
      <c r="F15" s="5" t="s">
        <v>31</v>
      </c>
      <c r="G15" s="8"/>
      <c r="H15" s="5" t="s">
        <v>712</v>
      </c>
      <c r="I15" s="5" t="s">
        <v>1956</v>
      </c>
      <c r="J15" s="5" t="s">
        <v>20</v>
      </c>
      <c r="K15" s="5" t="s">
        <v>861</v>
      </c>
      <c r="L15" s="9" t="str">
        <f>HYPERLINK("http://slimages.macys.com/is/image/MCY/14540104 ")</f>
        <v xml:space="preserve">http://slimages.macys.com/is/image/MCY/14540104 </v>
      </c>
    </row>
    <row r="16" spans="1:12" ht="39.950000000000003" customHeight="1" x14ac:dyDescent="0.25">
      <c r="A16" s="4" t="s">
        <v>3067</v>
      </c>
      <c r="B16" s="5" t="s">
        <v>3068</v>
      </c>
      <c r="C16" s="6">
        <v>1</v>
      </c>
      <c r="D16" s="7">
        <v>102.99</v>
      </c>
      <c r="E16" s="6" t="s">
        <v>3069</v>
      </c>
      <c r="F16" s="5" t="s">
        <v>54</v>
      </c>
      <c r="G16" s="8"/>
      <c r="H16" s="5" t="s">
        <v>745</v>
      </c>
      <c r="I16" s="5" t="s">
        <v>1162</v>
      </c>
      <c r="J16" s="5" t="s">
        <v>20</v>
      </c>
      <c r="K16" s="5" t="s">
        <v>936</v>
      </c>
      <c r="L16" s="9" t="str">
        <f>HYPERLINK("http://slimages.macys.com/is/image/MCY/11312612 ")</f>
        <v xml:space="preserve">http://slimages.macys.com/is/image/MCY/11312612 </v>
      </c>
    </row>
    <row r="17" spans="1:12" ht="39.950000000000003" customHeight="1" x14ac:dyDescent="0.25">
      <c r="A17" s="4" t="s">
        <v>3070</v>
      </c>
      <c r="B17" s="5" t="s">
        <v>3071</v>
      </c>
      <c r="C17" s="6">
        <v>1</v>
      </c>
      <c r="D17" s="7">
        <v>64.989999999999995</v>
      </c>
      <c r="E17" s="6" t="s">
        <v>3072</v>
      </c>
      <c r="F17" s="5" t="s">
        <v>744</v>
      </c>
      <c r="G17" s="8"/>
      <c r="H17" s="5" t="s">
        <v>940</v>
      </c>
      <c r="I17" s="5" t="s">
        <v>746</v>
      </c>
      <c r="J17" s="5" t="s">
        <v>20</v>
      </c>
      <c r="K17" s="5" t="s">
        <v>3073</v>
      </c>
      <c r="L17" s="9" t="str">
        <f>HYPERLINK("http://slimages.macys.com/is/image/MCY/8511552 ")</f>
        <v xml:space="preserve">http://slimages.macys.com/is/image/MCY/8511552 </v>
      </c>
    </row>
    <row r="18" spans="1:12" ht="39.950000000000003" customHeight="1" x14ac:dyDescent="0.25">
      <c r="A18" s="4" t="s">
        <v>3074</v>
      </c>
      <c r="B18" s="5" t="s">
        <v>3075</v>
      </c>
      <c r="C18" s="6">
        <v>1</v>
      </c>
      <c r="D18" s="7">
        <v>124.99</v>
      </c>
      <c r="E18" s="6" t="s">
        <v>3076</v>
      </c>
      <c r="F18" s="5" t="s">
        <v>89</v>
      </c>
      <c r="G18" s="8" t="s">
        <v>788</v>
      </c>
      <c r="H18" s="5" t="s">
        <v>707</v>
      </c>
      <c r="I18" s="5" t="s">
        <v>730</v>
      </c>
      <c r="J18" s="5" t="s">
        <v>20</v>
      </c>
      <c r="K18" s="5" t="s">
        <v>846</v>
      </c>
      <c r="L18" s="9" t="str">
        <f>HYPERLINK("http://slimages.macys.com/is/image/MCY/8182285 ")</f>
        <v xml:space="preserve">http://slimages.macys.com/is/image/MCY/8182285 </v>
      </c>
    </row>
    <row r="19" spans="1:12" ht="39.950000000000003" customHeight="1" x14ac:dyDescent="0.25">
      <c r="A19" s="4" t="s">
        <v>3077</v>
      </c>
      <c r="B19" s="5" t="s">
        <v>3078</v>
      </c>
      <c r="C19" s="6">
        <v>1</v>
      </c>
      <c r="D19" s="7">
        <v>124.99</v>
      </c>
      <c r="E19" s="6" t="s">
        <v>3079</v>
      </c>
      <c r="F19" s="5" t="s">
        <v>89</v>
      </c>
      <c r="G19" s="8" t="s">
        <v>788</v>
      </c>
      <c r="H19" s="5" t="s">
        <v>707</v>
      </c>
      <c r="I19" s="5" t="s">
        <v>730</v>
      </c>
      <c r="J19" s="5" t="s">
        <v>20</v>
      </c>
      <c r="K19" s="5" t="s">
        <v>846</v>
      </c>
      <c r="L19" s="9" t="str">
        <f>HYPERLINK("http://slimages.macys.com/is/image/MCY/8182285 ")</f>
        <v xml:space="preserve">http://slimages.macys.com/is/image/MCY/8182285 </v>
      </c>
    </row>
    <row r="20" spans="1:12" ht="39.950000000000003" customHeight="1" x14ac:dyDescent="0.25">
      <c r="A20" s="4" t="s">
        <v>3080</v>
      </c>
      <c r="B20" s="5" t="s">
        <v>3081</v>
      </c>
      <c r="C20" s="6">
        <v>1</v>
      </c>
      <c r="D20" s="7">
        <v>84.99</v>
      </c>
      <c r="E20" s="6" t="s">
        <v>3082</v>
      </c>
      <c r="F20" s="5" t="s">
        <v>850</v>
      </c>
      <c r="G20" s="8" t="s">
        <v>1065</v>
      </c>
      <c r="H20" s="5" t="s">
        <v>782</v>
      </c>
      <c r="I20" s="5" t="s">
        <v>2293</v>
      </c>
      <c r="J20" s="5"/>
      <c r="K20" s="5"/>
      <c r="L20" s="9" t="str">
        <f>HYPERLINK("http://slimages.macys.com/is/image/MCY/16911778 ")</f>
        <v xml:space="preserve">http://slimages.macys.com/is/image/MCY/16911778 </v>
      </c>
    </row>
    <row r="21" spans="1:12" ht="39.950000000000003" customHeight="1" x14ac:dyDescent="0.25">
      <c r="A21" s="4" t="s">
        <v>3083</v>
      </c>
      <c r="B21" s="5" t="s">
        <v>3084</v>
      </c>
      <c r="C21" s="6">
        <v>1</v>
      </c>
      <c r="D21" s="7">
        <v>99.99</v>
      </c>
      <c r="E21" s="6" t="s">
        <v>3085</v>
      </c>
      <c r="F21" s="5" t="s">
        <v>1124</v>
      </c>
      <c r="G21" s="8"/>
      <c r="H21" s="5" t="s">
        <v>739</v>
      </c>
      <c r="I21" s="5" t="s">
        <v>1561</v>
      </c>
      <c r="J21" s="5" t="s">
        <v>132</v>
      </c>
      <c r="K21" s="5" t="s">
        <v>3086</v>
      </c>
      <c r="L21" s="9" t="str">
        <f>HYPERLINK("http://slimages.macys.com/is/image/MCY/9935614 ")</f>
        <v xml:space="preserve">http://slimages.macys.com/is/image/MCY/9935614 </v>
      </c>
    </row>
    <row r="22" spans="1:12" ht="39.950000000000003" customHeight="1" x14ac:dyDescent="0.25">
      <c r="A22" s="4" t="s">
        <v>3087</v>
      </c>
      <c r="B22" s="5" t="s">
        <v>3088</v>
      </c>
      <c r="C22" s="6">
        <v>1</v>
      </c>
      <c r="D22" s="7">
        <v>69.989999999999995</v>
      </c>
      <c r="E22" s="6" t="s">
        <v>3089</v>
      </c>
      <c r="F22" s="5" t="s">
        <v>89</v>
      </c>
      <c r="G22" s="8"/>
      <c r="H22" s="5" t="s">
        <v>745</v>
      </c>
      <c r="I22" s="5" t="s">
        <v>879</v>
      </c>
      <c r="J22" s="5" t="s">
        <v>20</v>
      </c>
      <c r="K22" s="5" t="s">
        <v>880</v>
      </c>
      <c r="L22" s="9" t="str">
        <f>HYPERLINK("http://slimages.macys.com/is/image/MCY/11501472 ")</f>
        <v xml:space="preserve">http://slimages.macys.com/is/image/MCY/11501472 </v>
      </c>
    </row>
    <row r="23" spans="1:12" ht="39.950000000000003" customHeight="1" x14ac:dyDescent="0.25">
      <c r="A23" s="4" t="s">
        <v>3090</v>
      </c>
      <c r="B23" s="5" t="s">
        <v>3091</v>
      </c>
      <c r="C23" s="6">
        <v>1</v>
      </c>
      <c r="D23" s="7">
        <v>44.99</v>
      </c>
      <c r="E23" s="6" t="s">
        <v>3092</v>
      </c>
      <c r="F23" s="5" t="s">
        <v>89</v>
      </c>
      <c r="G23" s="8" t="s">
        <v>1804</v>
      </c>
      <c r="H23" s="5" t="s">
        <v>782</v>
      </c>
      <c r="I23" s="5" t="s">
        <v>3093</v>
      </c>
      <c r="J23" s="5" t="s">
        <v>20</v>
      </c>
      <c r="K23" s="5" t="s">
        <v>3094</v>
      </c>
      <c r="L23" s="9" t="str">
        <f>HYPERLINK("http://slimages.macys.com/is/image/MCY/3422110 ")</f>
        <v xml:space="preserve">http://slimages.macys.com/is/image/MCY/3422110 </v>
      </c>
    </row>
    <row r="24" spans="1:12" ht="39.950000000000003" customHeight="1" x14ac:dyDescent="0.25">
      <c r="A24" s="4" t="s">
        <v>3095</v>
      </c>
      <c r="B24" s="5" t="s">
        <v>3096</v>
      </c>
      <c r="C24" s="6">
        <v>1</v>
      </c>
      <c r="D24" s="7">
        <v>39.99</v>
      </c>
      <c r="E24" s="6" t="s">
        <v>3097</v>
      </c>
      <c r="F24" s="5" t="s">
        <v>555</v>
      </c>
      <c r="G24" s="8"/>
      <c r="H24" s="5" t="s">
        <v>718</v>
      </c>
      <c r="I24" s="5" t="s">
        <v>806</v>
      </c>
      <c r="J24" s="5" t="s">
        <v>20</v>
      </c>
      <c r="K24" s="5"/>
      <c r="L24" s="9" t="str">
        <f>HYPERLINK("http://slimages.macys.com/is/image/MCY/11764484 ")</f>
        <v xml:space="preserve">http://slimages.macys.com/is/image/MCY/11764484 </v>
      </c>
    </row>
    <row r="25" spans="1:12" ht="39.950000000000003" customHeight="1" x14ac:dyDescent="0.25">
      <c r="A25" s="4" t="s">
        <v>3098</v>
      </c>
      <c r="B25" s="5" t="s">
        <v>3099</v>
      </c>
      <c r="C25" s="6">
        <v>2</v>
      </c>
      <c r="D25" s="7">
        <v>139.97999999999999</v>
      </c>
      <c r="E25" s="6" t="s">
        <v>3100</v>
      </c>
      <c r="F25" s="5" t="s">
        <v>922</v>
      </c>
      <c r="G25" s="8"/>
      <c r="H25" s="5" t="s">
        <v>707</v>
      </c>
      <c r="I25" s="5" t="s">
        <v>874</v>
      </c>
      <c r="J25" s="5" t="s">
        <v>20</v>
      </c>
      <c r="K25" s="5"/>
      <c r="L25" s="9" t="str">
        <f>HYPERLINK("http://slimages.macys.com/is/image/MCY/10468060 ")</f>
        <v xml:space="preserve">http://slimages.macys.com/is/image/MCY/10468060 </v>
      </c>
    </row>
    <row r="26" spans="1:12" ht="39.950000000000003" customHeight="1" x14ac:dyDescent="0.25">
      <c r="A26" s="4" t="s">
        <v>3101</v>
      </c>
      <c r="B26" s="5" t="s">
        <v>3102</v>
      </c>
      <c r="C26" s="6">
        <v>1</v>
      </c>
      <c r="D26" s="7">
        <v>49.99</v>
      </c>
      <c r="E26" s="6" t="s">
        <v>3103</v>
      </c>
      <c r="F26" s="5" t="s">
        <v>691</v>
      </c>
      <c r="G26" s="8"/>
      <c r="H26" s="5" t="s">
        <v>718</v>
      </c>
      <c r="I26" s="5" t="s">
        <v>806</v>
      </c>
      <c r="J26" s="5"/>
      <c r="K26" s="5"/>
      <c r="L26" s="9" t="str">
        <f>HYPERLINK("http://slimages.macys.com/is/image/MCY/17968749 ")</f>
        <v xml:space="preserve">http://slimages.macys.com/is/image/MCY/17968749 </v>
      </c>
    </row>
    <row r="27" spans="1:12" ht="39.950000000000003" customHeight="1" x14ac:dyDescent="0.25">
      <c r="A27" s="4" t="s">
        <v>3104</v>
      </c>
      <c r="B27" s="5" t="s">
        <v>3105</v>
      </c>
      <c r="C27" s="6">
        <v>1</v>
      </c>
      <c r="D27" s="7">
        <v>29.99</v>
      </c>
      <c r="E27" s="6" t="s">
        <v>3106</v>
      </c>
      <c r="F27" s="5" t="s">
        <v>54</v>
      </c>
      <c r="G27" s="8" t="s">
        <v>17</v>
      </c>
      <c r="H27" s="5" t="s">
        <v>765</v>
      </c>
      <c r="I27" s="5" t="s">
        <v>1722</v>
      </c>
      <c r="J27" s="5" t="s">
        <v>20</v>
      </c>
      <c r="K27" s="5" t="s">
        <v>1723</v>
      </c>
      <c r="L27" s="9" t="str">
        <f>HYPERLINK("http://slimages.macys.com/is/image/MCY/16276140 ")</f>
        <v xml:space="preserve">http://slimages.macys.com/is/image/MCY/16276140 </v>
      </c>
    </row>
    <row r="28" spans="1:12" ht="39.950000000000003" customHeight="1" x14ac:dyDescent="0.25">
      <c r="A28" s="4" t="s">
        <v>3107</v>
      </c>
      <c r="B28" s="5" t="s">
        <v>3108</v>
      </c>
      <c r="C28" s="6">
        <v>4</v>
      </c>
      <c r="D28" s="7">
        <v>207.96</v>
      </c>
      <c r="E28" s="6" t="s">
        <v>3109</v>
      </c>
      <c r="F28" s="5" t="s">
        <v>89</v>
      </c>
      <c r="G28" s="8" t="s">
        <v>1065</v>
      </c>
      <c r="H28" s="5" t="s">
        <v>782</v>
      </c>
      <c r="I28" s="5" t="s">
        <v>783</v>
      </c>
      <c r="J28" s="5" t="s">
        <v>110</v>
      </c>
      <c r="K28" s="5" t="s">
        <v>3110</v>
      </c>
      <c r="L28" s="9" t="str">
        <f>HYPERLINK("http://slimages.macys.com/is/image/MCY/11798182 ")</f>
        <v xml:space="preserve">http://slimages.macys.com/is/image/MCY/11798182 </v>
      </c>
    </row>
    <row r="29" spans="1:12" ht="39.950000000000003" customHeight="1" x14ac:dyDescent="0.25">
      <c r="A29" s="4" t="s">
        <v>3111</v>
      </c>
      <c r="B29" s="5" t="s">
        <v>3112</v>
      </c>
      <c r="C29" s="6">
        <v>1</v>
      </c>
      <c r="D29" s="7">
        <v>29.99</v>
      </c>
      <c r="E29" s="6">
        <v>21350338</v>
      </c>
      <c r="F29" s="5" t="s">
        <v>1124</v>
      </c>
      <c r="G29" s="8"/>
      <c r="H29" s="5" t="s">
        <v>718</v>
      </c>
      <c r="I29" s="5" t="s">
        <v>1092</v>
      </c>
      <c r="J29" s="5" t="s">
        <v>20</v>
      </c>
      <c r="K29" s="5"/>
      <c r="L29" s="9" t="str">
        <f>HYPERLINK("http://slimages.macys.com/is/image/MCY/15389781 ")</f>
        <v xml:space="preserve">http://slimages.macys.com/is/image/MCY/15389781 </v>
      </c>
    </row>
    <row r="30" spans="1:12" ht="39.950000000000003" customHeight="1" x14ac:dyDescent="0.25">
      <c r="A30" s="4" t="s">
        <v>3113</v>
      </c>
      <c r="B30" s="5" t="s">
        <v>3114</v>
      </c>
      <c r="C30" s="6">
        <v>1</v>
      </c>
      <c r="D30" s="7">
        <v>49.99</v>
      </c>
      <c r="E30" s="6" t="s">
        <v>3115</v>
      </c>
      <c r="F30" s="5" t="s">
        <v>89</v>
      </c>
      <c r="G30" s="8" t="s">
        <v>1687</v>
      </c>
      <c r="H30" s="5" t="s">
        <v>772</v>
      </c>
      <c r="I30" s="5" t="s">
        <v>773</v>
      </c>
      <c r="J30" s="5" t="s">
        <v>20</v>
      </c>
      <c r="K30" s="5"/>
      <c r="L30" s="9" t="str">
        <f>HYPERLINK("http://slimages.macys.com/is/image/MCY/8435667 ")</f>
        <v xml:space="preserve">http://slimages.macys.com/is/image/MCY/8435667 </v>
      </c>
    </row>
    <row r="31" spans="1:12" ht="39.950000000000003" customHeight="1" x14ac:dyDescent="0.25">
      <c r="A31" s="4" t="s">
        <v>3116</v>
      </c>
      <c r="B31" s="5" t="s">
        <v>3117</v>
      </c>
      <c r="C31" s="6">
        <v>1</v>
      </c>
      <c r="D31" s="7">
        <v>44.99</v>
      </c>
      <c r="E31" s="6" t="s">
        <v>3118</v>
      </c>
      <c r="F31" s="5" t="s">
        <v>89</v>
      </c>
      <c r="G31" s="8" t="s">
        <v>1597</v>
      </c>
      <c r="H31" s="5" t="s">
        <v>724</v>
      </c>
      <c r="I31" s="5" t="s">
        <v>3119</v>
      </c>
      <c r="J31" s="5" t="s">
        <v>110</v>
      </c>
      <c r="K31" s="5" t="s">
        <v>1599</v>
      </c>
      <c r="L31" s="9" t="str">
        <f>HYPERLINK("http://slimages.macys.com/is/image/MCY/9406278 ")</f>
        <v xml:space="preserve">http://slimages.macys.com/is/image/MCY/9406278 </v>
      </c>
    </row>
    <row r="32" spans="1:12" ht="39.950000000000003" customHeight="1" x14ac:dyDescent="0.25">
      <c r="A32" s="4" t="s">
        <v>3120</v>
      </c>
      <c r="B32" s="5" t="s">
        <v>3121</v>
      </c>
      <c r="C32" s="6">
        <v>1</v>
      </c>
      <c r="D32" s="7">
        <v>39.99</v>
      </c>
      <c r="E32" s="6">
        <v>70114</v>
      </c>
      <c r="F32" s="5" t="s">
        <v>89</v>
      </c>
      <c r="G32" s="8"/>
      <c r="H32" s="5" t="s">
        <v>782</v>
      </c>
      <c r="I32" s="5" t="s">
        <v>835</v>
      </c>
      <c r="J32" s="5" t="s">
        <v>20</v>
      </c>
      <c r="K32" s="5" t="s">
        <v>836</v>
      </c>
      <c r="L32" s="9" t="str">
        <f>HYPERLINK("http://slimages.macys.com/is/image/MCY/16080633 ")</f>
        <v xml:space="preserve">http://slimages.macys.com/is/image/MCY/16080633 </v>
      </c>
    </row>
    <row r="33" spans="1:12" ht="39.950000000000003" customHeight="1" x14ac:dyDescent="0.25">
      <c r="A33" s="4" t="s">
        <v>3122</v>
      </c>
      <c r="B33" s="5" t="s">
        <v>3123</v>
      </c>
      <c r="C33" s="6">
        <v>1</v>
      </c>
      <c r="D33" s="7">
        <v>29.99</v>
      </c>
      <c r="E33" s="6" t="s">
        <v>3124</v>
      </c>
      <c r="F33" s="5" t="s">
        <v>394</v>
      </c>
      <c r="G33" s="8"/>
      <c r="H33" s="5" t="s">
        <v>745</v>
      </c>
      <c r="I33" s="5" t="s">
        <v>1140</v>
      </c>
      <c r="J33" s="5" t="s">
        <v>20</v>
      </c>
      <c r="K33" s="5"/>
      <c r="L33" s="9" t="str">
        <f>HYPERLINK("http://slimages.macys.com/is/image/MCY/16339127 ")</f>
        <v xml:space="preserve">http://slimages.macys.com/is/image/MCY/16339127 </v>
      </c>
    </row>
    <row r="34" spans="1:12" ht="39.950000000000003" customHeight="1" x14ac:dyDescent="0.25">
      <c r="A34" s="4" t="s">
        <v>3125</v>
      </c>
      <c r="B34" s="5" t="s">
        <v>3126</v>
      </c>
      <c r="C34" s="6">
        <v>1</v>
      </c>
      <c r="D34" s="7">
        <v>29.99</v>
      </c>
      <c r="E34" s="6" t="s">
        <v>3127</v>
      </c>
      <c r="F34" s="5"/>
      <c r="G34" s="8" t="s">
        <v>1704</v>
      </c>
      <c r="H34" s="5" t="s">
        <v>940</v>
      </c>
      <c r="I34" s="5" t="s">
        <v>3128</v>
      </c>
      <c r="J34" s="5" t="s">
        <v>20</v>
      </c>
      <c r="K34" s="5" t="s">
        <v>330</v>
      </c>
      <c r="L34" s="9" t="str">
        <f>HYPERLINK("http://slimages.macys.com/is/image/MCY/14453837 ")</f>
        <v xml:space="preserve">http://slimages.macys.com/is/image/MCY/14453837 </v>
      </c>
    </row>
    <row r="35" spans="1:12" ht="39.950000000000003" customHeight="1" x14ac:dyDescent="0.25">
      <c r="A35" s="4" t="s">
        <v>3129</v>
      </c>
      <c r="B35" s="5" t="s">
        <v>3130</v>
      </c>
      <c r="C35" s="6">
        <v>1</v>
      </c>
      <c r="D35" s="7">
        <v>29.99</v>
      </c>
      <c r="E35" s="6">
        <v>2000000021</v>
      </c>
      <c r="F35" s="5"/>
      <c r="G35" s="8"/>
      <c r="H35" s="5" t="s">
        <v>712</v>
      </c>
      <c r="I35" s="5" t="s">
        <v>1092</v>
      </c>
      <c r="J35" s="5"/>
      <c r="K35" s="5"/>
      <c r="L35" s="9" t="str">
        <f>HYPERLINK("http://slimages.macys.com/is/image/MCY/17597170 ")</f>
        <v xml:space="preserve">http://slimages.macys.com/is/image/MCY/17597170 </v>
      </c>
    </row>
    <row r="36" spans="1:12" ht="39.950000000000003" customHeight="1" x14ac:dyDescent="0.25">
      <c r="A36" s="4" t="s">
        <v>3131</v>
      </c>
      <c r="B36" s="5" t="s">
        <v>3132</v>
      </c>
      <c r="C36" s="6">
        <v>1</v>
      </c>
      <c r="D36" s="7">
        <v>78.11</v>
      </c>
      <c r="E36" s="6" t="s">
        <v>3133</v>
      </c>
      <c r="F36" s="5"/>
      <c r="G36" s="8"/>
      <c r="H36" s="5" t="s">
        <v>707</v>
      </c>
      <c r="I36" s="5" t="s">
        <v>730</v>
      </c>
      <c r="J36" s="5" t="s">
        <v>20</v>
      </c>
      <c r="K36" s="5" t="s">
        <v>846</v>
      </c>
      <c r="L36" s="9" t="str">
        <f>HYPERLINK("http://slimages.macys.com/is/image/MCY/8182285 ")</f>
        <v xml:space="preserve">http://slimages.macys.com/is/image/MCY/8182285 </v>
      </c>
    </row>
    <row r="37" spans="1:12" ht="39.950000000000003" customHeight="1" x14ac:dyDescent="0.25">
      <c r="A37" s="4" t="s">
        <v>3134</v>
      </c>
      <c r="B37" s="5" t="s">
        <v>3135</v>
      </c>
      <c r="C37" s="6">
        <v>1</v>
      </c>
      <c r="D37" s="7">
        <v>29.99</v>
      </c>
      <c r="E37" s="6" t="s">
        <v>3136</v>
      </c>
      <c r="F37" s="5" t="s">
        <v>2022</v>
      </c>
      <c r="G37" s="8"/>
      <c r="H37" s="5" t="s">
        <v>712</v>
      </c>
      <c r="I37" s="5" t="s">
        <v>1576</v>
      </c>
      <c r="J37" s="5"/>
      <c r="K37" s="5"/>
      <c r="L37" s="9" t="str">
        <f>HYPERLINK("http://slimages.macys.com/is/image/MCY/17888299 ")</f>
        <v xml:space="preserve">http://slimages.macys.com/is/image/MCY/17888299 </v>
      </c>
    </row>
    <row r="38" spans="1:12" ht="39.950000000000003" customHeight="1" x14ac:dyDescent="0.25">
      <c r="A38" s="4" t="s">
        <v>3137</v>
      </c>
      <c r="B38" s="5" t="s">
        <v>3138</v>
      </c>
      <c r="C38" s="6">
        <v>1</v>
      </c>
      <c r="D38" s="7">
        <v>29.99</v>
      </c>
      <c r="E38" s="6" t="s">
        <v>3139</v>
      </c>
      <c r="F38" s="5" t="s">
        <v>31</v>
      </c>
      <c r="G38" s="8"/>
      <c r="H38" s="5" t="s">
        <v>712</v>
      </c>
      <c r="I38" s="5" t="s">
        <v>1576</v>
      </c>
      <c r="J38" s="5" t="s">
        <v>20</v>
      </c>
      <c r="K38" s="5" t="s">
        <v>396</v>
      </c>
      <c r="L38" s="9" t="str">
        <f>HYPERLINK("http://slimages.macys.com/is/image/MCY/10652381 ")</f>
        <v xml:space="preserve">http://slimages.macys.com/is/image/MCY/10652381 </v>
      </c>
    </row>
    <row r="39" spans="1:12" ht="39.950000000000003" customHeight="1" x14ac:dyDescent="0.25">
      <c r="A39" s="4" t="s">
        <v>3140</v>
      </c>
      <c r="B39" s="5" t="s">
        <v>3141</v>
      </c>
      <c r="C39" s="6">
        <v>1</v>
      </c>
      <c r="D39" s="7">
        <v>24.99</v>
      </c>
      <c r="E39" s="6" t="s">
        <v>3142</v>
      </c>
      <c r="F39" s="5" t="s">
        <v>394</v>
      </c>
      <c r="G39" s="8"/>
      <c r="H39" s="5" t="s">
        <v>865</v>
      </c>
      <c r="I39" s="5" t="s">
        <v>814</v>
      </c>
      <c r="J39" s="5"/>
      <c r="K39" s="5"/>
      <c r="L39" s="9" t="str">
        <f>HYPERLINK("http://slimages.macys.com/is/image/MCY/17039985 ")</f>
        <v xml:space="preserve">http://slimages.macys.com/is/image/MCY/17039985 </v>
      </c>
    </row>
    <row r="40" spans="1:12" ht="39.950000000000003" customHeight="1" x14ac:dyDescent="0.25">
      <c r="A40" s="4" t="s">
        <v>3143</v>
      </c>
      <c r="B40" s="5" t="s">
        <v>3144</v>
      </c>
      <c r="C40" s="6">
        <v>1</v>
      </c>
      <c r="D40" s="7">
        <v>19.989999999999998</v>
      </c>
      <c r="E40" s="6" t="s">
        <v>3145</v>
      </c>
      <c r="F40" s="5" t="s">
        <v>555</v>
      </c>
      <c r="G40" s="8"/>
      <c r="H40" s="5" t="s">
        <v>718</v>
      </c>
      <c r="I40" s="5" t="s">
        <v>856</v>
      </c>
      <c r="J40" s="5" t="s">
        <v>20</v>
      </c>
      <c r="K40" s="5" t="s">
        <v>861</v>
      </c>
      <c r="L40" s="9" t="str">
        <f>HYPERLINK("http://slimages.macys.com/is/image/MCY/10681745 ")</f>
        <v xml:space="preserve">http://slimages.macys.com/is/image/MCY/10681745 </v>
      </c>
    </row>
    <row r="41" spans="1:12" ht="39.950000000000003" customHeight="1" x14ac:dyDescent="0.25">
      <c r="A41" s="4" t="s">
        <v>3146</v>
      </c>
      <c r="B41" s="5" t="s">
        <v>3147</v>
      </c>
      <c r="C41" s="6">
        <v>1</v>
      </c>
      <c r="D41" s="7">
        <v>17.989999999999998</v>
      </c>
      <c r="E41" s="6" t="s">
        <v>3148</v>
      </c>
      <c r="F41" s="5" t="s">
        <v>566</v>
      </c>
      <c r="G41" s="8"/>
      <c r="H41" s="5" t="s">
        <v>865</v>
      </c>
      <c r="I41" s="5" t="s">
        <v>2050</v>
      </c>
      <c r="J41" s="5" t="s">
        <v>20</v>
      </c>
      <c r="K41" s="5"/>
      <c r="L41" s="9" t="str">
        <f>HYPERLINK("http://slimages.macys.com/is/image/MCY/8900123 ")</f>
        <v xml:space="preserve">http://slimages.macys.com/is/image/MCY/8900123 </v>
      </c>
    </row>
    <row r="42" spans="1:12" ht="39.950000000000003" customHeight="1" x14ac:dyDescent="0.25">
      <c r="A42" s="4" t="s">
        <v>3149</v>
      </c>
      <c r="B42" s="5" t="s">
        <v>3150</v>
      </c>
      <c r="C42" s="6">
        <v>1</v>
      </c>
      <c r="D42" s="7">
        <v>7.99</v>
      </c>
      <c r="E42" s="6" t="s">
        <v>3151</v>
      </c>
      <c r="F42" s="5" t="s">
        <v>674</v>
      </c>
      <c r="G42" s="8" t="s">
        <v>954</v>
      </c>
      <c r="H42" s="5" t="s">
        <v>916</v>
      </c>
      <c r="I42" s="5" t="s">
        <v>1004</v>
      </c>
      <c r="J42" s="5" t="s">
        <v>20</v>
      </c>
      <c r="K42" s="5" t="s">
        <v>798</v>
      </c>
      <c r="L42" s="9" t="str">
        <f>HYPERLINK("http://slimages.macys.com/is/image/MCY/12723264 ")</f>
        <v xml:space="preserve">http://slimages.macys.com/is/image/MCY/12723264 </v>
      </c>
    </row>
    <row r="43" spans="1:12" ht="39.950000000000003" customHeight="1" x14ac:dyDescent="0.25">
      <c r="A43" s="4" t="s">
        <v>3152</v>
      </c>
      <c r="B43" s="5" t="s">
        <v>3153</v>
      </c>
      <c r="C43" s="6">
        <v>2</v>
      </c>
      <c r="D43" s="7">
        <v>99.98</v>
      </c>
      <c r="E43" s="6" t="s">
        <v>3154</v>
      </c>
      <c r="F43" s="5" t="s">
        <v>349</v>
      </c>
      <c r="G43" s="8"/>
      <c r="H43" s="5" t="s">
        <v>718</v>
      </c>
      <c r="I43" s="5" t="s">
        <v>806</v>
      </c>
      <c r="J43" s="5"/>
      <c r="K43" s="5"/>
      <c r="L43" s="9"/>
    </row>
    <row r="44" spans="1:12" ht="39.950000000000003" customHeight="1" x14ac:dyDescent="0.25">
      <c r="A44" s="4" t="s">
        <v>3155</v>
      </c>
      <c r="B44" s="5" t="s">
        <v>3156</v>
      </c>
      <c r="C44" s="6">
        <v>1</v>
      </c>
      <c r="D44" s="7">
        <v>49.99</v>
      </c>
      <c r="E44" s="6" t="s">
        <v>3157</v>
      </c>
      <c r="F44" s="5" t="s">
        <v>89</v>
      </c>
      <c r="G44" s="8" t="s">
        <v>1597</v>
      </c>
      <c r="H44" s="5" t="s">
        <v>724</v>
      </c>
      <c r="I44" s="5" t="s">
        <v>3158</v>
      </c>
      <c r="J44" s="5"/>
      <c r="K44" s="5"/>
      <c r="L44" s="9"/>
    </row>
    <row r="45" spans="1:12" ht="39.950000000000003" customHeight="1" x14ac:dyDescent="0.25">
      <c r="A45" s="4" t="s">
        <v>3159</v>
      </c>
      <c r="B45" s="5" t="s">
        <v>3160</v>
      </c>
      <c r="C45" s="6">
        <v>1</v>
      </c>
      <c r="D45" s="7">
        <v>41.99</v>
      </c>
      <c r="E45" s="6" t="s">
        <v>3161</v>
      </c>
      <c r="F45" s="5" t="s">
        <v>1260</v>
      </c>
      <c r="G45" s="8"/>
      <c r="H45" s="5" t="s">
        <v>712</v>
      </c>
      <c r="I45" s="5" t="s">
        <v>1722</v>
      </c>
      <c r="J45" s="5"/>
      <c r="K45" s="5"/>
      <c r="L45" s="9"/>
    </row>
    <row r="46" spans="1:12" ht="39.950000000000003" customHeight="1" x14ac:dyDescent="0.25">
      <c r="A46" s="4" t="s">
        <v>3162</v>
      </c>
      <c r="B46" s="5" t="s">
        <v>3163</v>
      </c>
      <c r="C46" s="6">
        <v>1</v>
      </c>
      <c r="D46" s="7">
        <v>16.989999999999998</v>
      </c>
      <c r="E46" s="6" t="s">
        <v>3164</v>
      </c>
      <c r="F46" s="5" t="s">
        <v>685</v>
      </c>
      <c r="G46" s="8"/>
      <c r="H46" s="5" t="s">
        <v>718</v>
      </c>
      <c r="I46" s="5" t="s">
        <v>1624</v>
      </c>
      <c r="J46" s="5"/>
      <c r="K46" s="5"/>
      <c r="L46" s="9"/>
    </row>
    <row r="47" spans="1:12" ht="39.950000000000003" customHeight="1" x14ac:dyDescent="0.25">
      <c r="A47" s="4" t="s">
        <v>3165</v>
      </c>
      <c r="B47" s="5" t="s">
        <v>3166</v>
      </c>
      <c r="C47" s="6">
        <v>1</v>
      </c>
      <c r="D47" s="7">
        <v>7.99</v>
      </c>
      <c r="E47" s="6" t="s">
        <v>2073</v>
      </c>
      <c r="F47" s="5" t="s">
        <v>1772</v>
      </c>
      <c r="G47" s="8"/>
      <c r="H47" s="5" t="s">
        <v>718</v>
      </c>
      <c r="I47" s="5" t="s">
        <v>2074</v>
      </c>
      <c r="J47" s="5"/>
      <c r="K47" s="5"/>
      <c r="L47" s="9"/>
    </row>
    <row r="48" spans="1:12" ht="39.950000000000003" customHeight="1" x14ac:dyDescent="0.25">
      <c r="A48" s="4"/>
      <c r="B48" s="5"/>
      <c r="C48" s="6"/>
      <c r="D48" s="7"/>
      <c r="E48" s="6"/>
      <c r="F48" s="5"/>
      <c r="G48" s="8"/>
      <c r="H48" s="5"/>
      <c r="I48" s="5"/>
      <c r="J48" s="5"/>
      <c r="K48" s="5"/>
      <c r="L48" s="9"/>
    </row>
    <row r="49" spans="1:12" ht="39.950000000000003" customHeight="1" x14ac:dyDescent="0.25">
      <c r="A49" s="4"/>
      <c r="B49" s="5"/>
      <c r="C49" s="6"/>
      <c r="D49" s="7"/>
      <c r="E49" s="6"/>
      <c r="F49" s="5"/>
      <c r="G49" s="8"/>
      <c r="H49" s="5"/>
      <c r="I49" s="5"/>
      <c r="J49" s="5"/>
      <c r="K49" s="5"/>
      <c r="L49" s="9"/>
    </row>
    <row r="50" spans="1:12" ht="39.950000000000003" customHeight="1" x14ac:dyDescent="0.25">
      <c r="A50" s="4"/>
      <c r="B50" s="5"/>
      <c r="C50" s="6"/>
      <c r="D50" s="7"/>
      <c r="E50" s="6"/>
      <c r="F50" s="5"/>
      <c r="G50" s="8"/>
      <c r="H50" s="5"/>
      <c r="I50" s="5"/>
      <c r="J50" s="5"/>
      <c r="K50" s="5"/>
      <c r="L50" s="9"/>
    </row>
    <row r="51" spans="1:12" ht="39.950000000000003" customHeight="1" x14ac:dyDescent="0.25">
      <c r="A51" s="4"/>
      <c r="B51" s="5"/>
      <c r="C51" s="6"/>
      <c r="D51" s="7"/>
      <c r="E51" s="6"/>
      <c r="F51" s="5"/>
      <c r="G51" s="8"/>
      <c r="H51" s="5"/>
      <c r="I51" s="5"/>
      <c r="J51" s="5"/>
      <c r="K51" s="5"/>
      <c r="L51" s="9"/>
    </row>
    <row r="52" spans="1:12" ht="39.950000000000003" customHeight="1" x14ac:dyDescent="0.25">
      <c r="A52" s="4"/>
      <c r="B52" s="5"/>
      <c r="C52" s="6"/>
      <c r="D52" s="7"/>
      <c r="E52" s="6"/>
      <c r="F52" s="5"/>
      <c r="G52" s="8"/>
      <c r="H52" s="5"/>
      <c r="I52" s="5"/>
      <c r="J52" s="5"/>
      <c r="K52" s="5"/>
      <c r="L52" s="9"/>
    </row>
    <row r="53" spans="1:12" ht="39.950000000000003" customHeight="1" x14ac:dyDescent="0.25">
      <c r="A53" s="4"/>
      <c r="B53" s="5"/>
      <c r="C53" s="6"/>
      <c r="D53" s="7"/>
      <c r="E53" s="6"/>
      <c r="F53" s="5"/>
      <c r="G53" s="8"/>
      <c r="H53" s="5"/>
      <c r="I53" s="5"/>
      <c r="J53" s="5"/>
      <c r="K53" s="5"/>
      <c r="L53" s="9"/>
    </row>
    <row r="54" spans="1:12" ht="39.950000000000003" customHeight="1" x14ac:dyDescent="0.25">
      <c r="A54" s="4"/>
      <c r="B54" s="5"/>
      <c r="C54" s="6"/>
      <c r="D54" s="7"/>
      <c r="E54" s="6"/>
      <c r="F54" s="5"/>
      <c r="G54" s="8"/>
      <c r="H54" s="5"/>
      <c r="I54" s="5"/>
      <c r="J54" s="5"/>
      <c r="K54" s="5"/>
      <c r="L54" s="9"/>
    </row>
    <row r="55" spans="1:12" ht="39.950000000000003" customHeight="1" x14ac:dyDescent="0.25">
      <c r="A55" s="4"/>
      <c r="B55" s="5"/>
      <c r="C55" s="6"/>
      <c r="D55" s="7"/>
      <c r="E55" s="6"/>
      <c r="F55" s="5"/>
      <c r="G55" s="8"/>
      <c r="H55" s="5"/>
      <c r="I55" s="5"/>
      <c r="J55" s="5"/>
      <c r="K55" s="5"/>
      <c r="L55" s="9"/>
    </row>
    <row r="56" spans="1:12" ht="39.950000000000003" customHeight="1" x14ac:dyDescent="0.25">
      <c r="A56" s="4"/>
      <c r="B56" s="5"/>
      <c r="C56" s="6"/>
      <c r="D56" s="7"/>
      <c r="E56" s="6"/>
      <c r="F56" s="5"/>
      <c r="G56" s="8"/>
      <c r="H56" s="5"/>
      <c r="I56" s="5"/>
      <c r="J56" s="5"/>
      <c r="K56" s="5"/>
      <c r="L56" s="9"/>
    </row>
    <row r="65" ht="39.950000000000003" customHeight="1" x14ac:dyDescent="0.25"/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8"/>
  <sheetViews>
    <sheetView workbookViewId="0">
      <selection activeCell="L9" sqref="L9"/>
    </sheetView>
  </sheetViews>
  <sheetFormatPr defaultRowHeight="15" x14ac:dyDescent="0.25"/>
  <cols>
    <col min="1" max="1" width="14.28515625" customWidth="1"/>
    <col min="2" max="2" width="22.28515625" customWidth="1"/>
    <col min="3" max="3" width="15" customWidth="1"/>
    <col min="4" max="4" width="10.28515625" customWidth="1"/>
    <col min="5" max="5" width="17.140625" customWidth="1"/>
    <col min="6" max="6" width="11.42578125" customWidth="1"/>
    <col min="7" max="7" width="10.85546875" customWidth="1"/>
    <col min="8" max="8" width="12.140625" customWidth="1"/>
    <col min="9" max="9" width="36.5703125" bestFit="1" customWidth="1"/>
    <col min="10" max="11" width="20.7109375" customWidth="1"/>
    <col min="12" max="12" width="64.28515625" customWidth="1"/>
  </cols>
  <sheetData>
    <row r="1" spans="1:12" ht="39.950000000000003" customHeight="1" x14ac:dyDescent="0.25">
      <c r="A1" s="3" t="s">
        <v>2</v>
      </c>
      <c r="B1" s="3" t="s">
        <v>3</v>
      </c>
      <c r="C1" s="3" t="s">
        <v>4</v>
      </c>
      <c r="D1" s="3" t="s">
        <v>5</v>
      </c>
      <c r="E1" s="3" t="s">
        <v>6</v>
      </c>
      <c r="F1" s="3" t="s">
        <v>7</v>
      </c>
      <c r="G1" s="3" t="s">
        <v>8</v>
      </c>
      <c r="H1" s="3" t="s">
        <v>9</v>
      </c>
      <c r="I1" s="3" t="s">
        <v>10</v>
      </c>
      <c r="J1" s="3" t="s">
        <v>11</v>
      </c>
      <c r="K1" s="3" t="s">
        <v>12</v>
      </c>
      <c r="L1" s="3" t="s">
        <v>13</v>
      </c>
    </row>
    <row r="2" spans="1:12" ht="39.950000000000003" customHeight="1" x14ac:dyDescent="0.25">
      <c r="A2" s="4" t="s">
        <v>3167</v>
      </c>
      <c r="B2" s="5" t="s">
        <v>3168</v>
      </c>
      <c r="C2" s="6">
        <v>1</v>
      </c>
      <c r="D2" s="7">
        <v>550</v>
      </c>
      <c r="E2" s="6" t="s">
        <v>3169</v>
      </c>
      <c r="F2" s="5" t="s">
        <v>89</v>
      </c>
      <c r="G2" s="8"/>
      <c r="H2" s="5" t="s">
        <v>3170</v>
      </c>
      <c r="I2" s="5" t="s">
        <v>3171</v>
      </c>
      <c r="J2" s="5" t="s">
        <v>670</v>
      </c>
      <c r="K2" s="5" t="s">
        <v>1683</v>
      </c>
      <c r="L2" s="9" t="str">
        <f>HYPERLINK("http://images.bloomingdales.com/is/image/BLM/8733716 ")</f>
        <v xml:space="preserve">http://images.bloomingdales.com/is/image/BLM/8733716 </v>
      </c>
    </row>
    <row r="3" spans="1:12" ht="39.950000000000003" customHeight="1" x14ac:dyDescent="0.25">
      <c r="A3" s="4" t="s">
        <v>3172</v>
      </c>
      <c r="B3" s="5" t="s">
        <v>3173</v>
      </c>
      <c r="C3" s="6">
        <v>1</v>
      </c>
      <c r="D3" s="7">
        <v>349</v>
      </c>
      <c r="E3" s="6" t="s">
        <v>3174</v>
      </c>
      <c r="F3" s="5" t="s">
        <v>89</v>
      </c>
      <c r="G3" s="8" t="s">
        <v>1952</v>
      </c>
      <c r="H3" s="5" t="s">
        <v>712</v>
      </c>
      <c r="I3" s="5" t="s">
        <v>1681</v>
      </c>
      <c r="J3" s="5" t="s">
        <v>1682</v>
      </c>
      <c r="K3" s="5" t="s">
        <v>3175</v>
      </c>
      <c r="L3" s="9" t="str">
        <f>HYPERLINK("http://images.bloomingdales.com/is/image/BLM/10067765 ")</f>
        <v xml:space="preserve">http://images.bloomingdales.com/is/image/BLM/10067765 </v>
      </c>
    </row>
    <row r="4" spans="1:12" ht="39.950000000000003" customHeight="1" x14ac:dyDescent="0.25">
      <c r="A4" s="4" t="s">
        <v>3176</v>
      </c>
      <c r="B4" s="5" t="s">
        <v>3177</v>
      </c>
      <c r="C4" s="6">
        <v>2</v>
      </c>
      <c r="D4" s="7">
        <v>600</v>
      </c>
      <c r="E4" s="6" t="s">
        <v>3178</v>
      </c>
      <c r="F4" s="5" t="s">
        <v>206</v>
      </c>
      <c r="G4" s="8" t="s">
        <v>3179</v>
      </c>
      <c r="H4" s="5" t="s">
        <v>700</v>
      </c>
      <c r="I4" s="5" t="s">
        <v>1044</v>
      </c>
      <c r="J4" s="5"/>
      <c r="K4" s="5"/>
      <c r="L4" s="9" t="str">
        <f>HYPERLINK("http://slimages.macys.com/is/image/MCY/16904327 ")</f>
        <v xml:space="preserve">http://slimages.macys.com/is/image/MCY/16904327 </v>
      </c>
    </row>
    <row r="5" spans="1:12" ht="39.950000000000003" customHeight="1" x14ac:dyDescent="0.25">
      <c r="A5" s="4" t="s">
        <v>3180</v>
      </c>
      <c r="B5" s="5" t="s">
        <v>3181</v>
      </c>
      <c r="C5" s="6">
        <v>1</v>
      </c>
      <c r="D5" s="7">
        <v>239</v>
      </c>
      <c r="E5" s="6" t="s">
        <v>3182</v>
      </c>
      <c r="F5" s="5" t="s">
        <v>54</v>
      </c>
      <c r="G5" s="8"/>
      <c r="H5" s="5" t="s">
        <v>765</v>
      </c>
      <c r="I5" s="5" t="s">
        <v>1681</v>
      </c>
      <c r="J5" s="5" t="s">
        <v>1715</v>
      </c>
      <c r="K5" s="5" t="s">
        <v>330</v>
      </c>
      <c r="L5" s="9" t="str">
        <f>HYPERLINK("http://images.bloomingdales.com/is/image/BLM/9278224 ")</f>
        <v xml:space="preserve">http://images.bloomingdales.com/is/image/BLM/9278224 </v>
      </c>
    </row>
    <row r="6" spans="1:12" ht="39.950000000000003" customHeight="1" x14ac:dyDescent="0.25">
      <c r="A6" s="4" t="s">
        <v>3183</v>
      </c>
      <c r="B6" s="5" t="s">
        <v>3184</v>
      </c>
      <c r="C6" s="6">
        <v>1</v>
      </c>
      <c r="D6" s="7">
        <v>310</v>
      </c>
      <c r="E6" s="6">
        <v>7504032790</v>
      </c>
      <c r="F6" s="5" t="s">
        <v>89</v>
      </c>
      <c r="G6" s="8"/>
      <c r="H6" s="5" t="s">
        <v>707</v>
      </c>
      <c r="I6" s="5" t="s">
        <v>3185</v>
      </c>
      <c r="J6" s="5" t="s">
        <v>670</v>
      </c>
      <c r="K6" s="5" t="s">
        <v>330</v>
      </c>
      <c r="L6" s="9" t="str">
        <f>HYPERLINK("http://images.bloomingdales.com/is/image/BLM/1141033 ")</f>
        <v xml:space="preserve">http://images.bloomingdales.com/is/image/BLM/1141033 </v>
      </c>
    </row>
    <row r="7" spans="1:12" ht="39.950000000000003" customHeight="1" x14ac:dyDescent="0.25">
      <c r="A7" s="4" t="s">
        <v>3186</v>
      </c>
      <c r="B7" s="5" t="s">
        <v>728</v>
      </c>
      <c r="C7" s="6">
        <v>1</v>
      </c>
      <c r="D7" s="7">
        <v>259.99</v>
      </c>
      <c r="E7" s="6" t="s">
        <v>3187</v>
      </c>
      <c r="F7" s="5" t="s">
        <v>89</v>
      </c>
      <c r="G7" s="8"/>
      <c r="H7" s="5" t="s">
        <v>707</v>
      </c>
      <c r="I7" s="5" t="s">
        <v>730</v>
      </c>
      <c r="J7" s="5" t="s">
        <v>20</v>
      </c>
      <c r="K7" s="5" t="s">
        <v>1487</v>
      </c>
      <c r="L7" s="9" t="str">
        <f>HYPERLINK("http://slimages.macys.com/is/image/MCY/11953123 ")</f>
        <v xml:space="preserve">http://slimages.macys.com/is/image/MCY/11953123 </v>
      </c>
    </row>
    <row r="8" spans="1:12" ht="39.950000000000003" customHeight="1" x14ac:dyDescent="0.25">
      <c r="A8" s="4" t="s">
        <v>3188</v>
      </c>
      <c r="B8" s="5" t="s">
        <v>3189</v>
      </c>
      <c r="C8" s="6">
        <v>1</v>
      </c>
      <c r="D8" s="7">
        <v>279.99</v>
      </c>
      <c r="E8" s="6" t="s">
        <v>3190</v>
      </c>
      <c r="F8" s="5" t="s">
        <v>54</v>
      </c>
      <c r="G8" s="8"/>
      <c r="H8" s="5" t="s">
        <v>707</v>
      </c>
      <c r="I8" s="5" t="s">
        <v>3191</v>
      </c>
      <c r="J8" s="5" t="s">
        <v>702</v>
      </c>
      <c r="K8" s="5" t="s">
        <v>3192</v>
      </c>
      <c r="L8" s="9" t="str">
        <f>HYPERLINK("http://images.bloomingdales.com/is/image/BLM/10463325 ")</f>
        <v xml:space="preserve">http://images.bloomingdales.com/is/image/BLM/10463325 </v>
      </c>
    </row>
    <row r="9" spans="1:12" ht="39.950000000000003" customHeight="1" x14ac:dyDescent="0.25">
      <c r="A9" s="4" t="s">
        <v>3193</v>
      </c>
      <c r="B9" s="5" t="s">
        <v>3194</v>
      </c>
      <c r="C9" s="6">
        <v>1</v>
      </c>
      <c r="D9" s="7">
        <v>299.99</v>
      </c>
      <c r="E9" s="6" t="s">
        <v>3195</v>
      </c>
      <c r="F9" s="5" t="s">
        <v>691</v>
      </c>
      <c r="G9" s="8"/>
      <c r="H9" s="5" t="s">
        <v>707</v>
      </c>
      <c r="I9" s="5" t="s">
        <v>874</v>
      </c>
      <c r="J9" s="5" t="s">
        <v>20</v>
      </c>
      <c r="K9" s="5" t="s">
        <v>3196</v>
      </c>
      <c r="L9" s="9" t="str">
        <f>HYPERLINK("http://slimages.macys.com/is/image/MCY/16355823 ")</f>
        <v xml:space="preserve">http://slimages.macys.com/is/image/MCY/16355823 </v>
      </c>
    </row>
    <row r="10" spans="1:12" ht="39.950000000000003" customHeight="1" x14ac:dyDescent="0.25">
      <c r="A10" s="4" t="s">
        <v>3197</v>
      </c>
      <c r="B10" s="5" t="s">
        <v>3198</v>
      </c>
      <c r="C10" s="6">
        <v>1</v>
      </c>
      <c r="D10" s="7">
        <v>390</v>
      </c>
      <c r="E10" s="6" t="s">
        <v>3199</v>
      </c>
      <c r="F10" s="5" t="s">
        <v>1008</v>
      </c>
      <c r="G10" s="8"/>
      <c r="H10" s="5" t="s">
        <v>707</v>
      </c>
      <c r="I10" s="5" t="s">
        <v>3200</v>
      </c>
      <c r="J10" s="5"/>
      <c r="K10" s="5"/>
      <c r="L10" s="9" t="str">
        <f>HYPERLINK("http://slimages.macys.com/is/image/MCY/2219713 ")</f>
        <v xml:space="preserve">http://slimages.macys.com/is/image/MCY/2219713 </v>
      </c>
    </row>
    <row r="11" spans="1:12" ht="39.950000000000003" customHeight="1" x14ac:dyDescent="0.25">
      <c r="A11" s="4" t="s">
        <v>3201</v>
      </c>
      <c r="B11" s="5" t="s">
        <v>3202</v>
      </c>
      <c r="C11" s="6">
        <v>1</v>
      </c>
      <c r="D11" s="7">
        <v>179.99</v>
      </c>
      <c r="E11" s="6">
        <v>80836</v>
      </c>
      <c r="F11" s="5" t="s">
        <v>965</v>
      </c>
      <c r="G11" s="8"/>
      <c r="H11" s="5" t="s">
        <v>712</v>
      </c>
      <c r="I11" s="5" t="s">
        <v>1058</v>
      </c>
      <c r="J11" s="5" t="s">
        <v>20</v>
      </c>
      <c r="K11" s="5" t="s">
        <v>3203</v>
      </c>
      <c r="L11" s="9" t="str">
        <f>HYPERLINK("http://slimages.macys.com/is/image/MCY/14826453 ")</f>
        <v xml:space="preserve">http://slimages.macys.com/is/image/MCY/14826453 </v>
      </c>
    </row>
    <row r="12" spans="1:12" ht="39.950000000000003" customHeight="1" x14ac:dyDescent="0.25">
      <c r="A12" s="4" t="s">
        <v>3204</v>
      </c>
      <c r="B12" s="5" t="s">
        <v>3205</v>
      </c>
      <c r="C12" s="6">
        <v>1</v>
      </c>
      <c r="D12" s="7">
        <v>149.99</v>
      </c>
      <c r="E12" s="6" t="s">
        <v>3206</v>
      </c>
      <c r="F12" s="5" t="s">
        <v>555</v>
      </c>
      <c r="G12" s="8"/>
      <c r="H12" s="5" t="s">
        <v>734</v>
      </c>
      <c r="I12" s="5" t="s">
        <v>1166</v>
      </c>
      <c r="J12" s="5" t="s">
        <v>20</v>
      </c>
      <c r="K12" s="5"/>
      <c r="L12" s="9" t="str">
        <f>HYPERLINK("http://slimages.macys.com/is/image/MCY/8338512 ")</f>
        <v xml:space="preserve">http://slimages.macys.com/is/image/MCY/8338512 </v>
      </c>
    </row>
    <row r="13" spans="1:12" ht="39.950000000000003" customHeight="1" x14ac:dyDescent="0.25">
      <c r="A13" s="4" t="s">
        <v>3207</v>
      </c>
      <c r="B13" s="5" t="s">
        <v>3208</v>
      </c>
      <c r="C13" s="6">
        <v>2</v>
      </c>
      <c r="D13" s="7">
        <v>720</v>
      </c>
      <c r="E13" s="6" t="s">
        <v>3209</v>
      </c>
      <c r="F13" s="5" t="s">
        <v>755</v>
      </c>
      <c r="G13" s="8"/>
      <c r="H13" s="5" t="s">
        <v>707</v>
      </c>
      <c r="I13" s="5" t="s">
        <v>3200</v>
      </c>
      <c r="J13" s="5"/>
      <c r="K13" s="5"/>
      <c r="L13" s="9" t="str">
        <f>HYPERLINK("http://slimages.macys.com/is/image/MCY/2182602 ")</f>
        <v xml:space="preserve">http://slimages.macys.com/is/image/MCY/2182602 </v>
      </c>
    </row>
    <row r="14" spans="1:12" ht="39.950000000000003" customHeight="1" x14ac:dyDescent="0.25">
      <c r="A14" s="4" t="s">
        <v>2810</v>
      </c>
      <c r="B14" s="5" t="s">
        <v>2811</v>
      </c>
      <c r="C14" s="6">
        <v>1</v>
      </c>
      <c r="D14" s="7">
        <v>119.99</v>
      </c>
      <c r="E14" s="6" t="s">
        <v>2812</v>
      </c>
      <c r="F14" s="5" t="s">
        <v>89</v>
      </c>
      <c r="G14" s="8"/>
      <c r="H14" s="5" t="s">
        <v>772</v>
      </c>
      <c r="I14" s="5" t="s">
        <v>1877</v>
      </c>
      <c r="J14" s="5" t="s">
        <v>20</v>
      </c>
      <c r="K14" s="5"/>
      <c r="L14" s="9" t="str">
        <f>HYPERLINK("http://slimages.macys.com/is/image/MCY/8813910 ")</f>
        <v xml:space="preserve">http://slimages.macys.com/is/image/MCY/8813910 </v>
      </c>
    </row>
    <row r="15" spans="1:12" ht="39.950000000000003" customHeight="1" x14ac:dyDescent="0.25">
      <c r="A15" s="4" t="s">
        <v>3210</v>
      </c>
      <c r="B15" s="5" t="s">
        <v>3211</v>
      </c>
      <c r="C15" s="6">
        <v>1</v>
      </c>
      <c r="D15" s="7">
        <v>129.99</v>
      </c>
      <c r="E15" s="6" t="s">
        <v>3212</v>
      </c>
      <c r="F15" s="5" t="s">
        <v>755</v>
      </c>
      <c r="G15" s="8"/>
      <c r="H15" s="5" t="s">
        <v>1673</v>
      </c>
      <c r="I15" s="5" t="s">
        <v>1674</v>
      </c>
      <c r="J15" s="5" t="s">
        <v>132</v>
      </c>
      <c r="K15" s="5" t="s">
        <v>341</v>
      </c>
      <c r="L15" s="9" t="str">
        <f>HYPERLINK("http://slimages.macys.com/is/image/MCY/11777712 ")</f>
        <v xml:space="preserve">http://slimages.macys.com/is/image/MCY/11777712 </v>
      </c>
    </row>
    <row r="16" spans="1:12" ht="39.950000000000003" customHeight="1" x14ac:dyDescent="0.25">
      <c r="A16" s="4" t="s">
        <v>3213</v>
      </c>
      <c r="B16" s="5" t="s">
        <v>3214</v>
      </c>
      <c r="C16" s="6">
        <v>1</v>
      </c>
      <c r="D16" s="7">
        <v>135</v>
      </c>
      <c r="E16" s="6" t="s">
        <v>3215</v>
      </c>
      <c r="F16" s="5" t="s">
        <v>89</v>
      </c>
      <c r="G16" s="8"/>
      <c r="H16" s="5" t="s">
        <v>3170</v>
      </c>
      <c r="I16" s="5" t="s">
        <v>3171</v>
      </c>
      <c r="J16" s="5" t="s">
        <v>670</v>
      </c>
      <c r="K16" s="5" t="s">
        <v>3216</v>
      </c>
      <c r="L16" s="9" t="str">
        <f>HYPERLINK("http://images.bloomingdales.com/is/image/BLM/8733715 ")</f>
        <v xml:space="preserve">http://images.bloomingdales.com/is/image/BLM/8733715 </v>
      </c>
    </row>
    <row r="17" spans="1:12" ht="39.950000000000003" customHeight="1" x14ac:dyDescent="0.25">
      <c r="A17" s="4" t="s">
        <v>1504</v>
      </c>
      <c r="B17" s="5" t="s">
        <v>1505</v>
      </c>
      <c r="C17" s="6">
        <v>1</v>
      </c>
      <c r="D17" s="7">
        <v>109.99</v>
      </c>
      <c r="E17" s="6" t="s">
        <v>1506</v>
      </c>
      <c r="F17" s="5" t="s">
        <v>89</v>
      </c>
      <c r="G17" s="8"/>
      <c r="H17" s="5" t="s">
        <v>772</v>
      </c>
      <c r="I17" s="5" t="s">
        <v>773</v>
      </c>
      <c r="J17" s="5" t="s">
        <v>20</v>
      </c>
      <c r="K17" s="5"/>
      <c r="L17" s="9" t="str">
        <f>HYPERLINK("http://slimages.macys.com/is/image/MCY/11534834 ")</f>
        <v xml:space="preserve">http://slimages.macys.com/is/image/MCY/11534834 </v>
      </c>
    </row>
    <row r="18" spans="1:12" ht="39.950000000000003" customHeight="1" x14ac:dyDescent="0.25">
      <c r="A18" s="4" t="s">
        <v>3217</v>
      </c>
      <c r="B18" s="5" t="s">
        <v>3214</v>
      </c>
      <c r="C18" s="6">
        <v>1</v>
      </c>
      <c r="D18" s="7">
        <v>125</v>
      </c>
      <c r="E18" s="6" t="s">
        <v>3218</v>
      </c>
      <c r="F18" s="5" t="s">
        <v>89</v>
      </c>
      <c r="G18" s="8" t="s">
        <v>3219</v>
      </c>
      <c r="H18" s="5" t="s">
        <v>3170</v>
      </c>
      <c r="I18" s="5" t="s">
        <v>3171</v>
      </c>
      <c r="J18" s="5" t="s">
        <v>670</v>
      </c>
      <c r="K18" s="5" t="s">
        <v>3216</v>
      </c>
      <c r="L18" s="9" t="str">
        <f>HYPERLINK("http://images.bloomingdales.com/is/image/BLM/8733715 ")</f>
        <v xml:space="preserve">http://images.bloomingdales.com/is/image/BLM/8733715 </v>
      </c>
    </row>
    <row r="19" spans="1:12" ht="39.950000000000003" customHeight="1" x14ac:dyDescent="0.25">
      <c r="A19" s="4" t="s">
        <v>3220</v>
      </c>
      <c r="B19" s="5" t="s">
        <v>3221</v>
      </c>
      <c r="C19" s="6">
        <v>2</v>
      </c>
      <c r="D19" s="7">
        <v>299.98</v>
      </c>
      <c r="E19" s="6" t="s">
        <v>3222</v>
      </c>
      <c r="F19" s="5" t="s">
        <v>89</v>
      </c>
      <c r="G19" s="8"/>
      <c r="H19" s="5" t="s">
        <v>772</v>
      </c>
      <c r="I19" s="5" t="s">
        <v>773</v>
      </c>
      <c r="J19" s="5" t="s">
        <v>20</v>
      </c>
      <c r="K19" s="5" t="s">
        <v>777</v>
      </c>
      <c r="L19" s="9" t="str">
        <f>HYPERLINK("http://slimages.macys.com/is/image/MCY/15389610 ")</f>
        <v xml:space="preserve">http://slimages.macys.com/is/image/MCY/15389610 </v>
      </c>
    </row>
    <row r="20" spans="1:12" ht="39.950000000000003" customHeight="1" x14ac:dyDescent="0.25">
      <c r="A20" s="4" t="s">
        <v>3223</v>
      </c>
      <c r="B20" s="5" t="s">
        <v>3224</v>
      </c>
      <c r="C20" s="6">
        <v>2</v>
      </c>
      <c r="D20" s="7">
        <v>299.98</v>
      </c>
      <c r="E20" s="6" t="s">
        <v>3225</v>
      </c>
      <c r="F20" s="5" t="s">
        <v>89</v>
      </c>
      <c r="G20" s="8"/>
      <c r="H20" s="5" t="s">
        <v>772</v>
      </c>
      <c r="I20" s="5" t="s">
        <v>773</v>
      </c>
      <c r="J20" s="5" t="s">
        <v>20</v>
      </c>
      <c r="K20" s="5" t="s">
        <v>777</v>
      </c>
      <c r="L20" s="9" t="str">
        <f>HYPERLINK("http://slimages.macys.com/is/image/MCY/14883564 ")</f>
        <v xml:space="preserve">http://slimages.macys.com/is/image/MCY/14883564 </v>
      </c>
    </row>
    <row r="21" spans="1:12" ht="39.950000000000003" customHeight="1" x14ac:dyDescent="0.25">
      <c r="A21" s="4" t="s">
        <v>3226</v>
      </c>
      <c r="B21" s="5" t="s">
        <v>3059</v>
      </c>
      <c r="C21" s="6">
        <v>1</v>
      </c>
      <c r="D21" s="7">
        <v>139.99</v>
      </c>
      <c r="E21" s="6" t="s">
        <v>3227</v>
      </c>
      <c r="F21" s="5" t="s">
        <v>600</v>
      </c>
      <c r="G21" s="8"/>
      <c r="H21" s="5" t="s">
        <v>772</v>
      </c>
      <c r="I21" s="5" t="s">
        <v>773</v>
      </c>
      <c r="J21" s="5" t="s">
        <v>20</v>
      </c>
      <c r="K21" s="5" t="s">
        <v>330</v>
      </c>
      <c r="L21" s="9" t="str">
        <f>HYPERLINK("http://slimages.macys.com/is/image/MCY/11607139 ")</f>
        <v xml:space="preserve">http://slimages.macys.com/is/image/MCY/11607139 </v>
      </c>
    </row>
    <row r="22" spans="1:12" ht="39.950000000000003" customHeight="1" x14ac:dyDescent="0.25">
      <c r="A22" s="4" t="s">
        <v>3228</v>
      </c>
      <c r="B22" s="5" t="s">
        <v>3229</v>
      </c>
      <c r="C22" s="6">
        <v>1</v>
      </c>
      <c r="D22" s="7">
        <v>99.99</v>
      </c>
      <c r="E22" s="6" t="s">
        <v>3230</v>
      </c>
      <c r="F22" s="5" t="s">
        <v>674</v>
      </c>
      <c r="G22" s="8"/>
      <c r="H22" s="5" t="s">
        <v>745</v>
      </c>
      <c r="I22" s="5" t="s">
        <v>3231</v>
      </c>
      <c r="J22" s="5"/>
      <c r="K22" s="5"/>
      <c r="L22" s="9" t="str">
        <f>HYPERLINK("http://slimages.macys.com/is/image/MCY/17896510 ")</f>
        <v xml:space="preserve">http://slimages.macys.com/is/image/MCY/17896510 </v>
      </c>
    </row>
    <row r="23" spans="1:12" ht="39.950000000000003" customHeight="1" x14ac:dyDescent="0.25">
      <c r="A23" s="4" t="s">
        <v>3232</v>
      </c>
      <c r="B23" s="5" t="s">
        <v>3233</v>
      </c>
      <c r="C23" s="6">
        <v>1</v>
      </c>
      <c r="D23" s="7">
        <v>199</v>
      </c>
      <c r="E23" s="6" t="s">
        <v>3234</v>
      </c>
      <c r="F23" s="5" t="s">
        <v>89</v>
      </c>
      <c r="G23" s="8"/>
      <c r="H23" s="5" t="s">
        <v>707</v>
      </c>
      <c r="I23" s="5" t="s">
        <v>3191</v>
      </c>
      <c r="J23" s="5" t="s">
        <v>1715</v>
      </c>
      <c r="K23" s="5" t="s">
        <v>362</v>
      </c>
      <c r="L23" s="9" t="str">
        <f>HYPERLINK("http://images.bloomingdales.com/is/image/BLM/10485695 ")</f>
        <v xml:space="preserve">http://images.bloomingdales.com/is/image/BLM/10485695 </v>
      </c>
    </row>
    <row r="24" spans="1:12" ht="39.950000000000003" customHeight="1" x14ac:dyDescent="0.25">
      <c r="A24" s="4" t="s">
        <v>3235</v>
      </c>
      <c r="B24" s="5" t="s">
        <v>3236</v>
      </c>
      <c r="C24" s="6">
        <v>1</v>
      </c>
      <c r="D24" s="7">
        <v>88.99</v>
      </c>
      <c r="E24" s="6" t="s">
        <v>3237</v>
      </c>
      <c r="F24" s="5" t="s">
        <v>1036</v>
      </c>
      <c r="G24" s="8"/>
      <c r="H24" s="5" t="s">
        <v>712</v>
      </c>
      <c r="I24" s="5" t="s">
        <v>1956</v>
      </c>
      <c r="J24" s="5" t="s">
        <v>20</v>
      </c>
      <c r="K24" s="5" t="s">
        <v>341</v>
      </c>
      <c r="L24" s="9" t="str">
        <f>HYPERLINK("http://slimages.macys.com/is/image/MCY/14516447 ")</f>
        <v xml:space="preserve">http://slimages.macys.com/is/image/MCY/14516447 </v>
      </c>
    </row>
    <row r="25" spans="1:12" ht="39.950000000000003" customHeight="1" x14ac:dyDescent="0.25">
      <c r="A25" s="4" t="s">
        <v>3238</v>
      </c>
      <c r="B25" s="5" t="s">
        <v>3239</v>
      </c>
      <c r="C25" s="6">
        <v>1</v>
      </c>
      <c r="D25" s="7">
        <v>99.99</v>
      </c>
      <c r="E25" s="6">
        <v>1010792600</v>
      </c>
      <c r="F25" s="5" t="s">
        <v>628</v>
      </c>
      <c r="G25" s="8"/>
      <c r="H25" s="5" t="s">
        <v>916</v>
      </c>
      <c r="I25" s="5" t="s">
        <v>917</v>
      </c>
      <c r="J25" s="5"/>
      <c r="K25" s="5"/>
      <c r="L25" s="9" t="str">
        <f>HYPERLINK("http://slimages.macys.com/is/image/MCY/18008495 ")</f>
        <v xml:space="preserve">http://slimages.macys.com/is/image/MCY/18008495 </v>
      </c>
    </row>
    <row r="26" spans="1:12" ht="39.950000000000003" customHeight="1" x14ac:dyDescent="0.25">
      <c r="A26" s="4" t="s">
        <v>3240</v>
      </c>
      <c r="B26" s="5" t="s">
        <v>3241</v>
      </c>
      <c r="C26" s="6">
        <v>2</v>
      </c>
      <c r="D26" s="7">
        <v>226</v>
      </c>
      <c r="E26" s="6" t="s">
        <v>3242</v>
      </c>
      <c r="F26" s="5" t="s">
        <v>89</v>
      </c>
      <c r="G26" s="8" t="s">
        <v>954</v>
      </c>
      <c r="H26" s="5" t="s">
        <v>940</v>
      </c>
      <c r="I26" s="5" t="s">
        <v>1714</v>
      </c>
      <c r="J26" s="5" t="s">
        <v>20</v>
      </c>
      <c r="K26" s="5" t="s">
        <v>1683</v>
      </c>
      <c r="L26" s="9" t="str">
        <f>HYPERLINK("http://images.bloomingdales.com/is/image/BLM/10001634 ")</f>
        <v xml:space="preserve">http://images.bloomingdales.com/is/image/BLM/10001634 </v>
      </c>
    </row>
    <row r="27" spans="1:12" ht="39.950000000000003" customHeight="1" x14ac:dyDescent="0.25">
      <c r="A27" s="4" t="s">
        <v>1678</v>
      </c>
      <c r="B27" s="5" t="s">
        <v>1679</v>
      </c>
      <c r="C27" s="6">
        <v>1</v>
      </c>
      <c r="D27" s="7">
        <v>68</v>
      </c>
      <c r="E27" s="6" t="s">
        <v>1680</v>
      </c>
      <c r="F27" s="5" t="s">
        <v>54</v>
      </c>
      <c r="G27" s="8"/>
      <c r="H27" s="5" t="s">
        <v>712</v>
      </c>
      <c r="I27" s="5" t="s">
        <v>1681</v>
      </c>
      <c r="J27" s="5" t="s">
        <v>1682</v>
      </c>
      <c r="K27" s="5" t="s">
        <v>1683</v>
      </c>
      <c r="L27" s="9" t="str">
        <f>HYPERLINK("http://images.bloomingdales.com/is/image/BLM/9773044 ")</f>
        <v xml:space="preserve">http://images.bloomingdales.com/is/image/BLM/9773044 </v>
      </c>
    </row>
    <row r="28" spans="1:12" ht="39.950000000000003" customHeight="1" x14ac:dyDescent="0.25">
      <c r="A28" s="4" t="s">
        <v>3243</v>
      </c>
      <c r="B28" s="5" t="s">
        <v>3244</v>
      </c>
      <c r="C28" s="6">
        <v>1</v>
      </c>
      <c r="D28" s="7">
        <v>155</v>
      </c>
      <c r="E28" s="6" t="s">
        <v>3245</v>
      </c>
      <c r="F28" s="5" t="s">
        <v>610</v>
      </c>
      <c r="G28" s="8"/>
      <c r="H28" s="5" t="s">
        <v>1528</v>
      </c>
      <c r="I28" s="5" t="s">
        <v>3246</v>
      </c>
      <c r="J28" s="5" t="s">
        <v>132</v>
      </c>
      <c r="K28" s="5" t="s">
        <v>3247</v>
      </c>
      <c r="L28" s="9" t="str">
        <f>HYPERLINK("http://images.bloomingdales.com/is/image/BLM/10806681 ")</f>
        <v xml:space="preserve">http://images.bloomingdales.com/is/image/BLM/10806681 </v>
      </c>
    </row>
    <row r="29" spans="1:12" ht="39.950000000000003" customHeight="1" x14ac:dyDescent="0.25">
      <c r="A29" s="4" t="s">
        <v>3248</v>
      </c>
      <c r="B29" s="5" t="s">
        <v>3249</v>
      </c>
      <c r="C29" s="6">
        <v>1</v>
      </c>
      <c r="D29" s="7">
        <v>185</v>
      </c>
      <c r="E29" s="6" t="s">
        <v>3250</v>
      </c>
      <c r="F29" s="5" t="s">
        <v>89</v>
      </c>
      <c r="G29" s="8"/>
      <c r="H29" s="5" t="s">
        <v>1528</v>
      </c>
      <c r="I29" s="5" t="s">
        <v>3246</v>
      </c>
      <c r="J29" s="5" t="s">
        <v>702</v>
      </c>
      <c r="K29" s="5" t="s">
        <v>3251</v>
      </c>
      <c r="L29" s="9" t="str">
        <f>HYPERLINK("http://images.bloomingdales.com/is/image/BLM/10151531 ")</f>
        <v xml:space="preserve">http://images.bloomingdales.com/is/image/BLM/10151531 </v>
      </c>
    </row>
    <row r="30" spans="1:12" ht="39.950000000000003" customHeight="1" x14ac:dyDescent="0.25">
      <c r="A30" s="4" t="s">
        <v>3252</v>
      </c>
      <c r="B30" s="5" t="s">
        <v>3253</v>
      </c>
      <c r="C30" s="6">
        <v>1</v>
      </c>
      <c r="D30" s="7">
        <v>89.99</v>
      </c>
      <c r="E30" s="6" t="s">
        <v>3254</v>
      </c>
      <c r="F30" s="5" t="s">
        <v>89</v>
      </c>
      <c r="G30" s="8"/>
      <c r="H30" s="5" t="s">
        <v>1157</v>
      </c>
      <c r="I30" s="5" t="s">
        <v>1158</v>
      </c>
      <c r="J30" s="5" t="s">
        <v>20</v>
      </c>
      <c r="K30" s="5"/>
      <c r="L30" s="9" t="str">
        <f>HYPERLINK("http://slimages.macys.com/is/image/MCY/8670787 ")</f>
        <v xml:space="preserve">http://slimages.macys.com/is/image/MCY/8670787 </v>
      </c>
    </row>
    <row r="31" spans="1:12" ht="39.950000000000003" customHeight="1" x14ac:dyDescent="0.25">
      <c r="A31" s="4" t="s">
        <v>3255</v>
      </c>
      <c r="B31" s="5" t="s">
        <v>3256</v>
      </c>
      <c r="C31" s="6">
        <v>1</v>
      </c>
      <c r="D31" s="7">
        <v>88</v>
      </c>
      <c r="E31" s="6" t="s">
        <v>3257</v>
      </c>
      <c r="F31" s="5" t="s">
        <v>89</v>
      </c>
      <c r="G31" s="8"/>
      <c r="H31" s="5" t="s">
        <v>712</v>
      </c>
      <c r="I31" s="5" t="s">
        <v>1681</v>
      </c>
      <c r="J31" s="5" t="s">
        <v>1715</v>
      </c>
      <c r="K31" s="5" t="s">
        <v>330</v>
      </c>
      <c r="L31" s="9" t="str">
        <f>HYPERLINK("http://images.bloomingdales.com/is/image/BLM/9814466 ")</f>
        <v xml:space="preserve">http://images.bloomingdales.com/is/image/BLM/9814466 </v>
      </c>
    </row>
    <row r="32" spans="1:12" ht="39.950000000000003" customHeight="1" x14ac:dyDescent="0.25">
      <c r="A32" s="4" t="s">
        <v>3258</v>
      </c>
      <c r="B32" s="5" t="s">
        <v>3259</v>
      </c>
      <c r="C32" s="6">
        <v>1</v>
      </c>
      <c r="D32" s="7">
        <v>99.99</v>
      </c>
      <c r="E32" s="6" t="s">
        <v>3260</v>
      </c>
      <c r="F32" s="5" t="s">
        <v>2022</v>
      </c>
      <c r="G32" s="8"/>
      <c r="H32" s="5" t="s">
        <v>772</v>
      </c>
      <c r="I32" s="5" t="s">
        <v>773</v>
      </c>
      <c r="J32" s="5" t="s">
        <v>20</v>
      </c>
      <c r="K32" s="5" t="s">
        <v>341</v>
      </c>
      <c r="L32" s="9" t="str">
        <f>HYPERLINK("http://slimages.macys.com/is/image/MCY/8433239 ")</f>
        <v xml:space="preserve">http://slimages.macys.com/is/image/MCY/8433239 </v>
      </c>
    </row>
    <row r="33" spans="1:12" ht="39.950000000000003" customHeight="1" x14ac:dyDescent="0.25">
      <c r="A33" s="4" t="s">
        <v>3261</v>
      </c>
      <c r="B33" s="5" t="s">
        <v>3262</v>
      </c>
      <c r="C33" s="6">
        <v>1</v>
      </c>
      <c r="D33" s="7">
        <v>155</v>
      </c>
      <c r="E33" s="6" t="s">
        <v>3263</v>
      </c>
      <c r="F33" s="5" t="s">
        <v>691</v>
      </c>
      <c r="G33" s="8"/>
      <c r="H33" s="5" t="s">
        <v>1528</v>
      </c>
      <c r="I33" s="5" t="s">
        <v>3246</v>
      </c>
      <c r="J33" s="5" t="s">
        <v>702</v>
      </c>
      <c r="K33" s="5" t="s">
        <v>2192</v>
      </c>
      <c r="L33" s="9" t="str">
        <f>HYPERLINK("http://images.bloomingdales.com/is/image/BLM/10498701 ")</f>
        <v xml:space="preserve">http://images.bloomingdales.com/is/image/BLM/10498701 </v>
      </c>
    </row>
    <row r="34" spans="1:12" ht="39.950000000000003" customHeight="1" x14ac:dyDescent="0.25">
      <c r="A34" s="4" t="s">
        <v>3264</v>
      </c>
      <c r="B34" s="5" t="s">
        <v>3265</v>
      </c>
      <c r="C34" s="6">
        <v>1</v>
      </c>
      <c r="D34" s="7">
        <v>129.99</v>
      </c>
      <c r="E34" s="6" t="s">
        <v>776</v>
      </c>
      <c r="F34" s="5" t="s">
        <v>206</v>
      </c>
      <c r="G34" s="8"/>
      <c r="H34" s="5" t="s">
        <v>772</v>
      </c>
      <c r="I34" s="5" t="s">
        <v>773</v>
      </c>
      <c r="J34" s="5" t="s">
        <v>20</v>
      </c>
      <c r="K34" s="5" t="s">
        <v>777</v>
      </c>
      <c r="L34" s="9" t="str">
        <f>HYPERLINK("http://slimages.macys.com/is/image/MCY/15862594 ")</f>
        <v xml:space="preserve">http://slimages.macys.com/is/image/MCY/15862594 </v>
      </c>
    </row>
    <row r="35" spans="1:12" ht="39.950000000000003" customHeight="1" x14ac:dyDescent="0.25">
      <c r="A35" s="4" t="s">
        <v>3266</v>
      </c>
      <c r="B35" s="5" t="s">
        <v>3267</v>
      </c>
      <c r="C35" s="6">
        <v>1</v>
      </c>
      <c r="D35" s="7">
        <v>155</v>
      </c>
      <c r="E35" s="6" t="s">
        <v>3268</v>
      </c>
      <c r="F35" s="5" t="s">
        <v>850</v>
      </c>
      <c r="G35" s="8"/>
      <c r="H35" s="5" t="s">
        <v>1528</v>
      </c>
      <c r="I35" s="5" t="s">
        <v>3246</v>
      </c>
      <c r="J35" s="5" t="s">
        <v>132</v>
      </c>
      <c r="K35" s="5" t="s">
        <v>3269</v>
      </c>
      <c r="L35" s="9" t="str">
        <f>HYPERLINK("http://images.bloomingdales.com/is/image/BLM/11020165 ")</f>
        <v xml:space="preserve">http://images.bloomingdales.com/is/image/BLM/11020165 </v>
      </c>
    </row>
    <row r="36" spans="1:12" ht="39.950000000000003" customHeight="1" x14ac:dyDescent="0.25">
      <c r="A36" s="4" t="s">
        <v>3270</v>
      </c>
      <c r="B36" s="5" t="s">
        <v>3271</v>
      </c>
      <c r="C36" s="6">
        <v>2</v>
      </c>
      <c r="D36" s="7">
        <v>560</v>
      </c>
      <c r="E36" s="6" t="s">
        <v>3272</v>
      </c>
      <c r="F36" s="5" t="s">
        <v>89</v>
      </c>
      <c r="G36" s="8" t="s">
        <v>1512</v>
      </c>
      <c r="H36" s="5" t="s">
        <v>724</v>
      </c>
      <c r="I36" s="5" t="s">
        <v>3273</v>
      </c>
      <c r="J36" s="5" t="s">
        <v>1067</v>
      </c>
      <c r="K36" s="5" t="s">
        <v>3274</v>
      </c>
      <c r="L36" s="9" t="str">
        <f>HYPERLINK("http://images.bloomingdales.com/is/image/BLM/11029922 ")</f>
        <v xml:space="preserve">http://images.bloomingdales.com/is/image/BLM/11029922 </v>
      </c>
    </row>
    <row r="37" spans="1:12" ht="39.950000000000003" customHeight="1" x14ac:dyDescent="0.25">
      <c r="A37" s="4" t="s">
        <v>3275</v>
      </c>
      <c r="B37" s="5" t="s">
        <v>3276</v>
      </c>
      <c r="C37" s="6">
        <v>2</v>
      </c>
      <c r="D37" s="7">
        <v>320</v>
      </c>
      <c r="E37" s="6" t="s">
        <v>3277</v>
      </c>
      <c r="F37" s="5" t="s">
        <v>89</v>
      </c>
      <c r="G37" s="8" t="s">
        <v>1012</v>
      </c>
      <c r="H37" s="5" t="s">
        <v>724</v>
      </c>
      <c r="I37" s="5" t="s">
        <v>3278</v>
      </c>
      <c r="J37" s="5" t="s">
        <v>1514</v>
      </c>
      <c r="K37" s="5" t="s">
        <v>3279</v>
      </c>
      <c r="L37" s="9" t="str">
        <f>HYPERLINK("http://images.bloomingdales.com/is/image/BLM/10576091 ")</f>
        <v xml:space="preserve">http://images.bloomingdales.com/is/image/BLM/10576091 </v>
      </c>
    </row>
    <row r="38" spans="1:12" ht="39.950000000000003" customHeight="1" x14ac:dyDescent="0.25">
      <c r="A38" s="4" t="s">
        <v>3280</v>
      </c>
      <c r="B38" s="5" t="s">
        <v>3281</v>
      </c>
      <c r="C38" s="6">
        <v>1</v>
      </c>
      <c r="D38" s="7">
        <v>139.99</v>
      </c>
      <c r="E38" s="6" t="s">
        <v>3282</v>
      </c>
      <c r="F38" s="5" t="s">
        <v>89</v>
      </c>
      <c r="G38" s="8" t="s">
        <v>1687</v>
      </c>
      <c r="H38" s="5" t="s">
        <v>707</v>
      </c>
      <c r="I38" s="5" t="s">
        <v>730</v>
      </c>
      <c r="J38" s="5" t="s">
        <v>20</v>
      </c>
      <c r="K38" s="5" t="s">
        <v>846</v>
      </c>
      <c r="L38" s="9" t="str">
        <f>HYPERLINK("http://slimages.macys.com/is/image/MCY/8182285 ")</f>
        <v xml:space="preserve">http://slimages.macys.com/is/image/MCY/8182285 </v>
      </c>
    </row>
    <row r="39" spans="1:12" ht="39.950000000000003" customHeight="1" x14ac:dyDescent="0.25">
      <c r="A39" s="4" t="s">
        <v>3283</v>
      </c>
      <c r="B39" s="5" t="s">
        <v>3284</v>
      </c>
      <c r="C39" s="6">
        <v>1</v>
      </c>
      <c r="D39" s="7">
        <v>49.99</v>
      </c>
      <c r="E39" s="6" t="s">
        <v>3285</v>
      </c>
      <c r="F39" s="5" t="s">
        <v>1124</v>
      </c>
      <c r="G39" s="8"/>
      <c r="H39" s="5" t="s">
        <v>712</v>
      </c>
      <c r="I39" s="5" t="s">
        <v>1092</v>
      </c>
      <c r="J39" s="5" t="s">
        <v>20</v>
      </c>
      <c r="K39" s="5" t="s">
        <v>396</v>
      </c>
      <c r="L39" s="9" t="str">
        <f>HYPERLINK("http://slimages.macys.com/is/image/MCY/8347198 ")</f>
        <v xml:space="preserve">http://slimages.macys.com/is/image/MCY/8347198 </v>
      </c>
    </row>
    <row r="40" spans="1:12" ht="39.950000000000003" customHeight="1" x14ac:dyDescent="0.25">
      <c r="A40" s="4" t="s">
        <v>3286</v>
      </c>
      <c r="B40" s="5" t="s">
        <v>3287</v>
      </c>
      <c r="C40" s="6">
        <v>2</v>
      </c>
      <c r="D40" s="7">
        <v>300</v>
      </c>
      <c r="E40" s="6" t="s">
        <v>3288</v>
      </c>
      <c r="F40" s="5" t="s">
        <v>89</v>
      </c>
      <c r="G40" s="8" t="s">
        <v>845</v>
      </c>
      <c r="H40" s="5" t="s">
        <v>707</v>
      </c>
      <c r="I40" s="5" t="s">
        <v>3200</v>
      </c>
      <c r="J40" s="5" t="s">
        <v>702</v>
      </c>
      <c r="K40" s="5" t="s">
        <v>3289</v>
      </c>
      <c r="L40" s="9" t="str">
        <f>HYPERLINK("http://images.bloomingdales.com/is/image/BLM/10058056 ")</f>
        <v xml:space="preserve">http://images.bloomingdales.com/is/image/BLM/10058056 </v>
      </c>
    </row>
    <row r="41" spans="1:12" ht="39.950000000000003" customHeight="1" x14ac:dyDescent="0.25">
      <c r="A41" s="4" t="s">
        <v>3290</v>
      </c>
      <c r="B41" s="5" t="s">
        <v>3291</v>
      </c>
      <c r="C41" s="6">
        <v>1</v>
      </c>
      <c r="D41" s="7">
        <v>145</v>
      </c>
      <c r="E41" s="6" t="s">
        <v>3292</v>
      </c>
      <c r="F41" s="5" t="s">
        <v>89</v>
      </c>
      <c r="G41" s="8" t="s">
        <v>781</v>
      </c>
      <c r="H41" s="5" t="s">
        <v>724</v>
      </c>
      <c r="I41" s="5" t="s">
        <v>3278</v>
      </c>
      <c r="J41" s="5" t="s">
        <v>1067</v>
      </c>
      <c r="K41" s="5" t="s">
        <v>3279</v>
      </c>
      <c r="L41" s="9" t="str">
        <f>HYPERLINK("http://images.bloomingdales.com/is/image/BLM/10576080 ")</f>
        <v xml:space="preserve">http://images.bloomingdales.com/is/image/BLM/10576080 </v>
      </c>
    </row>
    <row r="42" spans="1:12" ht="39.950000000000003" customHeight="1" x14ac:dyDescent="0.25">
      <c r="A42" s="4" t="s">
        <v>3293</v>
      </c>
      <c r="B42" s="5" t="s">
        <v>3294</v>
      </c>
      <c r="C42" s="6">
        <v>1</v>
      </c>
      <c r="D42" s="7">
        <v>145</v>
      </c>
      <c r="E42" s="6" t="s">
        <v>3295</v>
      </c>
      <c r="F42" s="5" t="s">
        <v>89</v>
      </c>
      <c r="G42" s="8" t="s">
        <v>1512</v>
      </c>
      <c r="H42" s="5" t="s">
        <v>724</v>
      </c>
      <c r="I42" s="5" t="s">
        <v>3278</v>
      </c>
      <c r="J42" s="5" t="s">
        <v>20</v>
      </c>
      <c r="K42" s="5" t="s">
        <v>3296</v>
      </c>
      <c r="L42" s="9" t="str">
        <f>HYPERLINK("http://images.bloomingdales.com/is/image/BLM/10576092 ")</f>
        <v xml:space="preserve">http://images.bloomingdales.com/is/image/BLM/10576092 </v>
      </c>
    </row>
    <row r="43" spans="1:12" ht="39.950000000000003" customHeight="1" x14ac:dyDescent="0.25">
      <c r="A43" s="4" t="s">
        <v>3297</v>
      </c>
      <c r="B43" s="5" t="s">
        <v>3298</v>
      </c>
      <c r="C43" s="6">
        <v>1</v>
      </c>
      <c r="D43" s="7">
        <v>59.99</v>
      </c>
      <c r="E43" s="6">
        <v>82255</v>
      </c>
      <c r="F43" s="5" t="s">
        <v>674</v>
      </c>
      <c r="G43" s="8"/>
      <c r="H43" s="5" t="s">
        <v>712</v>
      </c>
      <c r="I43" s="5" t="s">
        <v>1058</v>
      </c>
      <c r="J43" s="5" t="s">
        <v>20</v>
      </c>
      <c r="K43" s="5" t="s">
        <v>2365</v>
      </c>
      <c r="L43" s="9" t="str">
        <f>HYPERLINK("http://slimages.macys.com/is/image/MCY/16522516 ")</f>
        <v xml:space="preserve">http://slimages.macys.com/is/image/MCY/16522516 </v>
      </c>
    </row>
    <row r="44" spans="1:12" ht="39.950000000000003" customHeight="1" x14ac:dyDescent="0.25">
      <c r="A44" s="4" t="s">
        <v>3299</v>
      </c>
      <c r="B44" s="5" t="s">
        <v>3300</v>
      </c>
      <c r="C44" s="6">
        <v>1</v>
      </c>
      <c r="D44" s="7">
        <v>79.989999999999995</v>
      </c>
      <c r="E44" s="6" t="s">
        <v>3301</v>
      </c>
      <c r="F44" s="5" t="s">
        <v>89</v>
      </c>
      <c r="G44" s="8"/>
      <c r="H44" s="5" t="s">
        <v>1528</v>
      </c>
      <c r="I44" s="5" t="s">
        <v>3246</v>
      </c>
      <c r="J44" s="5" t="s">
        <v>702</v>
      </c>
      <c r="K44" s="5" t="s">
        <v>3251</v>
      </c>
      <c r="L44" s="9" t="str">
        <f>HYPERLINK("http://images.bloomingdales.com/is/image/BLM/10058057 ")</f>
        <v xml:space="preserve">http://images.bloomingdales.com/is/image/BLM/10058057 </v>
      </c>
    </row>
    <row r="45" spans="1:12" ht="39.950000000000003" customHeight="1" x14ac:dyDescent="0.25">
      <c r="A45" s="4" t="s">
        <v>3302</v>
      </c>
      <c r="B45" s="5" t="s">
        <v>3303</v>
      </c>
      <c r="C45" s="6">
        <v>2</v>
      </c>
      <c r="D45" s="7">
        <v>99.98</v>
      </c>
      <c r="E45" s="6" t="s">
        <v>3304</v>
      </c>
      <c r="F45" s="5" t="s">
        <v>1036</v>
      </c>
      <c r="G45" s="8" t="s">
        <v>954</v>
      </c>
      <c r="H45" s="5" t="s">
        <v>940</v>
      </c>
      <c r="I45" s="5" t="s">
        <v>1681</v>
      </c>
      <c r="J45" s="5" t="s">
        <v>1715</v>
      </c>
      <c r="K45" s="5" t="s">
        <v>330</v>
      </c>
      <c r="L45" s="9" t="str">
        <f>HYPERLINK("http://images.bloomingdales.com/is/image/BLM/10230973 ")</f>
        <v xml:space="preserve">http://images.bloomingdales.com/is/image/BLM/10230973 </v>
      </c>
    </row>
    <row r="46" spans="1:12" ht="39.950000000000003" customHeight="1" x14ac:dyDescent="0.25">
      <c r="A46" s="4" t="s">
        <v>1695</v>
      </c>
      <c r="B46" s="5" t="s">
        <v>1696</v>
      </c>
      <c r="C46" s="6">
        <v>1</v>
      </c>
      <c r="D46" s="7">
        <v>49.99</v>
      </c>
      <c r="E46" s="6" t="s">
        <v>1697</v>
      </c>
      <c r="F46" s="5" t="s">
        <v>1124</v>
      </c>
      <c r="G46" s="8"/>
      <c r="H46" s="5" t="s">
        <v>712</v>
      </c>
      <c r="I46" s="5" t="s">
        <v>1092</v>
      </c>
      <c r="J46" s="5" t="s">
        <v>20</v>
      </c>
      <c r="K46" s="5" t="s">
        <v>396</v>
      </c>
      <c r="L46" s="9" t="str">
        <f>HYPERLINK("http://slimages.macys.com/is/image/MCY/8347198 ")</f>
        <v xml:space="preserve">http://slimages.macys.com/is/image/MCY/8347198 </v>
      </c>
    </row>
    <row r="47" spans="1:12" ht="39.950000000000003" customHeight="1" x14ac:dyDescent="0.25">
      <c r="A47" s="4" t="s">
        <v>1104</v>
      </c>
      <c r="B47" s="5" t="s">
        <v>1105</v>
      </c>
      <c r="C47" s="6">
        <v>1</v>
      </c>
      <c r="D47" s="7">
        <v>49.99</v>
      </c>
      <c r="E47" s="6" t="s">
        <v>1106</v>
      </c>
      <c r="F47" s="5" t="s">
        <v>394</v>
      </c>
      <c r="G47" s="8"/>
      <c r="H47" s="5" t="s">
        <v>712</v>
      </c>
      <c r="I47" s="5" t="s">
        <v>1092</v>
      </c>
      <c r="J47" s="5" t="s">
        <v>20</v>
      </c>
      <c r="K47" s="5" t="s">
        <v>396</v>
      </c>
      <c r="L47" s="9" t="str">
        <f>HYPERLINK("http://slimages.macys.com/is/image/MCY/8347198 ")</f>
        <v xml:space="preserve">http://slimages.macys.com/is/image/MCY/8347198 </v>
      </c>
    </row>
    <row r="48" spans="1:12" ht="39.950000000000003" customHeight="1" x14ac:dyDescent="0.25">
      <c r="A48" s="4" t="s">
        <v>3305</v>
      </c>
      <c r="B48" s="5" t="s">
        <v>3306</v>
      </c>
      <c r="C48" s="6">
        <v>1</v>
      </c>
      <c r="D48" s="7">
        <v>39.99</v>
      </c>
      <c r="E48" s="6">
        <v>56594</v>
      </c>
      <c r="F48" s="5" t="s">
        <v>206</v>
      </c>
      <c r="G48" s="8"/>
      <c r="H48" s="5" t="s">
        <v>745</v>
      </c>
      <c r="I48" s="5" t="s">
        <v>1630</v>
      </c>
      <c r="J48" s="5" t="s">
        <v>20</v>
      </c>
      <c r="K48" s="5" t="s">
        <v>396</v>
      </c>
      <c r="L48" s="9" t="str">
        <f>HYPERLINK("http://slimages.macys.com/is/image/MCY/16060450 ")</f>
        <v xml:space="preserve">http://slimages.macys.com/is/image/MCY/16060450 </v>
      </c>
    </row>
    <row r="49" spans="1:12" ht="39.950000000000003" customHeight="1" x14ac:dyDescent="0.25">
      <c r="A49" s="4" t="s">
        <v>3307</v>
      </c>
      <c r="B49" s="5" t="s">
        <v>3308</v>
      </c>
      <c r="C49" s="6">
        <v>1</v>
      </c>
      <c r="D49" s="7">
        <v>50</v>
      </c>
      <c r="E49" s="6">
        <v>21412</v>
      </c>
      <c r="F49" s="5" t="s">
        <v>555</v>
      </c>
      <c r="G49" s="8" t="s">
        <v>17</v>
      </c>
      <c r="H49" s="5" t="s">
        <v>2711</v>
      </c>
      <c r="I49" s="5" t="s">
        <v>3309</v>
      </c>
      <c r="J49" s="5" t="s">
        <v>20</v>
      </c>
      <c r="K49" s="5"/>
      <c r="L49" s="9" t="str">
        <f>HYPERLINK("http://images.bloomingdales.com/is/image/BLM/8140411 ")</f>
        <v xml:space="preserve">http://images.bloomingdales.com/is/image/BLM/8140411 </v>
      </c>
    </row>
    <row r="50" spans="1:12" ht="39.950000000000003" customHeight="1" x14ac:dyDescent="0.25">
      <c r="A50" s="4" t="s">
        <v>3310</v>
      </c>
      <c r="B50" s="5" t="s">
        <v>3311</v>
      </c>
      <c r="C50" s="6">
        <v>1</v>
      </c>
      <c r="D50" s="7">
        <v>62.5</v>
      </c>
      <c r="E50" s="6" t="s">
        <v>3312</v>
      </c>
      <c r="F50" s="5" t="s">
        <v>394</v>
      </c>
      <c r="G50" s="8" t="s">
        <v>954</v>
      </c>
      <c r="H50" s="5" t="s">
        <v>940</v>
      </c>
      <c r="I50" s="5" t="s">
        <v>1681</v>
      </c>
      <c r="J50" s="5" t="s">
        <v>1715</v>
      </c>
      <c r="K50" s="5" t="s">
        <v>330</v>
      </c>
      <c r="L50" s="9" t="str">
        <f>HYPERLINK("http://images.bloomingdales.com/is/image/BLM/10230973 ")</f>
        <v xml:space="preserve">http://images.bloomingdales.com/is/image/BLM/10230973 </v>
      </c>
    </row>
    <row r="51" spans="1:12" ht="39.950000000000003" customHeight="1" x14ac:dyDescent="0.25">
      <c r="A51" s="4" t="s">
        <v>3313</v>
      </c>
      <c r="B51" s="5" t="s">
        <v>3314</v>
      </c>
      <c r="C51" s="6">
        <v>1</v>
      </c>
      <c r="D51" s="7">
        <v>29.99</v>
      </c>
      <c r="E51" s="6" t="s">
        <v>3315</v>
      </c>
      <c r="F51" s="5" t="s">
        <v>685</v>
      </c>
      <c r="G51" s="8"/>
      <c r="H51" s="5" t="s">
        <v>831</v>
      </c>
      <c r="I51" s="5" t="s">
        <v>931</v>
      </c>
      <c r="J51" s="5" t="s">
        <v>20</v>
      </c>
      <c r="K51" s="5" t="s">
        <v>3316</v>
      </c>
      <c r="L51" s="9" t="str">
        <f>HYPERLINK("http://slimages.macys.com/is/image/MCY/12752009 ")</f>
        <v xml:space="preserve">http://slimages.macys.com/is/image/MCY/12752009 </v>
      </c>
    </row>
    <row r="52" spans="1:12" ht="39.950000000000003" customHeight="1" x14ac:dyDescent="0.25">
      <c r="A52" s="4" t="s">
        <v>3317</v>
      </c>
      <c r="B52" s="5" t="s">
        <v>3318</v>
      </c>
      <c r="C52" s="6">
        <v>1</v>
      </c>
      <c r="D52" s="7">
        <v>130</v>
      </c>
      <c r="E52" s="6" t="s">
        <v>3319</v>
      </c>
      <c r="F52" s="5" t="s">
        <v>89</v>
      </c>
      <c r="G52" s="8"/>
      <c r="H52" s="5" t="s">
        <v>707</v>
      </c>
      <c r="I52" s="5" t="s">
        <v>3191</v>
      </c>
      <c r="J52" s="5" t="s">
        <v>702</v>
      </c>
      <c r="K52" s="5" t="s">
        <v>3320</v>
      </c>
      <c r="L52" s="9" t="str">
        <f>HYPERLINK("http://images.bloomingdales.com/is/image/BLM/11006974 ")</f>
        <v xml:space="preserve">http://images.bloomingdales.com/is/image/BLM/11006974 </v>
      </c>
    </row>
    <row r="53" spans="1:12" ht="39.950000000000003" customHeight="1" x14ac:dyDescent="0.25">
      <c r="A53" s="4" t="s">
        <v>3321</v>
      </c>
      <c r="B53" s="5" t="s">
        <v>3322</v>
      </c>
      <c r="C53" s="6">
        <v>1</v>
      </c>
      <c r="D53" s="7">
        <v>39.99</v>
      </c>
      <c r="E53" s="6">
        <v>130119</v>
      </c>
      <c r="F53" s="5" t="s">
        <v>89</v>
      </c>
      <c r="G53" s="8" t="s">
        <v>1486</v>
      </c>
      <c r="H53" s="5" t="s">
        <v>1644</v>
      </c>
      <c r="I53" s="5" t="s">
        <v>2293</v>
      </c>
      <c r="J53" s="5" t="s">
        <v>20</v>
      </c>
      <c r="K53" s="5" t="s">
        <v>3323</v>
      </c>
      <c r="L53" s="9" t="str">
        <f>HYPERLINK("http://slimages.macys.com/is/image/MCY/3895749 ")</f>
        <v xml:space="preserve">http://slimages.macys.com/is/image/MCY/3895749 </v>
      </c>
    </row>
    <row r="54" spans="1:12" ht="39.950000000000003" customHeight="1" x14ac:dyDescent="0.25">
      <c r="A54" s="4" t="s">
        <v>3324</v>
      </c>
      <c r="B54" s="5" t="s">
        <v>3325</v>
      </c>
      <c r="C54" s="6">
        <v>1</v>
      </c>
      <c r="D54" s="7">
        <v>39.99</v>
      </c>
      <c r="E54" s="6">
        <v>130114</v>
      </c>
      <c r="F54" s="5" t="s">
        <v>744</v>
      </c>
      <c r="G54" s="8" t="s">
        <v>1486</v>
      </c>
      <c r="H54" s="5" t="s">
        <v>1644</v>
      </c>
      <c r="I54" s="5" t="s">
        <v>2293</v>
      </c>
      <c r="J54" s="5" t="s">
        <v>20</v>
      </c>
      <c r="K54" s="5" t="s">
        <v>3323</v>
      </c>
      <c r="L54" s="9" t="str">
        <f>HYPERLINK("http://slimages.macys.com/is/image/MCY/3895749 ")</f>
        <v xml:space="preserve">http://slimages.macys.com/is/image/MCY/3895749 </v>
      </c>
    </row>
    <row r="55" spans="1:12" ht="39.950000000000003" customHeight="1" x14ac:dyDescent="0.25">
      <c r="A55" s="4" t="s">
        <v>3326</v>
      </c>
      <c r="B55" s="5" t="s">
        <v>3327</v>
      </c>
      <c r="C55" s="6">
        <v>1</v>
      </c>
      <c r="D55" s="7">
        <v>38.99</v>
      </c>
      <c r="E55" s="6" t="s">
        <v>3328</v>
      </c>
      <c r="F55" s="5" t="s">
        <v>78</v>
      </c>
      <c r="G55" s="8"/>
      <c r="H55" s="5" t="s">
        <v>765</v>
      </c>
      <c r="I55" s="5" t="s">
        <v>1722</v>
      </c>
      <c r="J55" s="5" t="s">
        <v>20</v>
      </c>
      <c r="K55" s="5" t="s">
        <v>1723</v>
      </c>
      <c r="L55" s="9" t="str">
        <f>HYPERLINK("http://slimages.macys.com/is/image/MCY/14905836 ")</f>
        <v xml:space="preserve">http://slimages.macys.com/is/image/MCY/14905836 </v>
      </c>
    </row>
    <row r="56" spans="1:12" ht="39.950000000000003" customHeight="1" x14ac:dyDescent="0.25">
      <c r="A56" s="4" t="s">
        <v>1979</v>
      </c>
      <c r="B56" s="5" t="s">
        <v>1980</v>
      </c>
      <c r="C56" s="6">
        <v>1</v>
      </c>
      <c r="D56" s="7">
        <v>69.989999999999995</v>
      </c>
      <c r="E56" s="6" t="s">
        <v>1981</v>
      </c>
      <c r="F56" s="5" t="s">
        <v>89</v>
      </c>
      <c r="G56" s="8"/>
      <c r="H56" s="5" t="s">
        <v>707</v>
      </c>
      <c r="I56" s="5" t="s">
        <v>874</v>
      </c>
      <c r="J56" s="5" t="s">
        <v>20</v>
      </c>
      <c r="K56" s="5" t="s">
        <v>751</v>
      </c>
      <c r="L56" s="9" t="str">
        <f>HYPERLINK("http://slimages.macys.com/is/image/MCY/9353025 ")</f>
        <v xml:space="preserve">http://slimages.macys.com/is/image/MCY/9353025 </v>
      </c>
    </row>
    <row r="57" spans="1:12" ht="24.75" x14ac:dyDescent="0.25">
      <c r="A57" s="4" t="s">
        <v>3125</v>
      </c>
      <c r="B57" s="5" t="s">
        <v>3126</v>
      </c>
      <c r="C57" s="6">
        <v>1</v>
      </c>
      <c r="D57" s="7">
        <v>29.99</v>
      </c>
      <c r="E57" s="6" t="s">
        <v>3127</v>
      </c>
      <c r="F57" s="5"/>
      <c r="G57" s="8" t="s">
        <v>1704</v>
      </c>
      <c r="H57" s="5" t="s">
        <v>940</v>
      </c>
      <c r="I57" s="5" t="s">
        <v>3128</v>
      </c>
      <c r="J57" s="5" t="s">
        <v>20</v>
      </c>
      <c r="K57" s="5" t="s">
        <v>330</v>
      </c>
      <c r="L57" s="9" t="str">
        <f>HYPERLINK("http://slimages.macys.com/is/image/MCY/14453837 ")</f>
        <v xml:space="preserve">http://slimages.macys.com/is/image/MCY/14453837 </v>
      </c>
    </row>
    <row r="58" spans="1:12" ht="48.75" x14ac:dyDescent="0.25">
      <c r="A58" s="4" t="s">
        <v>3329</v>
      </c>
      <c r="B58" s="5" t="s">
        <v>3330</v>
      </c>
      <c r="C58" s="6">
        <v>1</v>
      </c>
      <c r="D58" s="7">
        <v>34.99</v>
      </c>
      <c r="E58" s="6" t="s">
        <v>3331</v>
      </c>
      <c r="F58" s="5" t="s">
        <v>691</v>
      </c>
      <c r="G58" s="8" t="s">
        <v>3332</v>
      </c>
      <c r="H58" s="5" t="s">
        <v>772</v>
      </c>
      <c r="I58" s="5" t="s">
        <v>773</v>
      </c>
      <c r="J58" s="5" t="s">
        <v>20</v>
      </c>
      <c r="K58" s="5"/>
      <c r="L58" s="9" t="str">
        <f>HYPERLINK("http://slimages.macys.com/is/image/MCY/8435667 ")</f>
        <v xml:space="preserve">http://slimages.macys.com/is/image/MCY/8435667 </v>
      </c>
    </row>
    <row r="59" spans="1:12" ht="36.75" x14ac:dyDescent="0.25">
      <c r="A59" s="4" t="s">
        <v>3333</v>
      </c>
      <c r="B59" s="5" t="s">
        <v>3334</v>
      </c>
      <c r="C59" s="6">
        <v>1</v>
      </c>
      <c r="D59" s="7">
        <v>24.99</v>
      </c>
      <c r="E59" s="6" t="s">
        <v>3335</v>
      </c>
      <c r="F59" s="5" t="s">
        <v>755</v>
      </c>
      <c r="G59" s="8"/>
      <c r="H59" s="5" t="s">
        <v>765</v>
      </c>
      <c r="I59" s="5" t="s">
        <v>2475</v>
      </c>
      <c r="J59" s="5" t="s">
        <v>20</v>
      </c>
      <c r="K59" s="5" t="s">
        <v>396</v>
      </c>
      <c r="L59" s="9" t="str">
        <f>HYPERLINK("http://slimages.macys.com/is/image/MCY/2861128 ")</f>
        <v xml:space="preserve">http://slimages.macys.com/is/image/MCY/2861128 </v>
      </c>
    </row>
    <row r="60" spans="1:12" ht="36.75" x14ac:dyDescent="0.25">
      <c r="A60" s="4" t="s">
        <v>3336</v>
      </c>
      <c r="B60" s="5" t="s">
        <v>3337</v>
      </c>
      <c r="C60" s="6">
        <v>1</v>
      </c>
      <c r="D60" s="7">
        <v>24.99</v>
      </c>
      <c r="E60" s="6" t="s">
        <v>3338</v>
      </c>
      <c r="F60" s="5" t="s">
        <v>674</v>
      </c>
      <c r="G60" s="8"/>
      <c r="H60" s="5" t="s">
        <v>765</v>
      </c>
      <c r="I60" s="5" t="s">
        <v>2475</v>
      </c>
      <c r="J60" s="5" t="s">
        <v>20</v>
      </c>
      <c r="K60" s="5" t="s">
        <v>396</v>
      </c>
      <c r="L60" s="9" t="str">
        <f>HYPERLINK("http://slimages.macys.com/is/image/MCY/2861128 ")</f>
        <v xml:space="preserve">http://slimages.macys.com/is/image/MCY/2861128 </v>
      </c>
    </row>
    <row r="61" spans="1:12" ht="36.75" x14ac:dyDescent="0.25">
      <c r="A61" s="4" t="s">
        <v>3339</v>
      </c>
      <c r="B61" s="5" t="s">
        <v>3340</v>
      </c>
      <c r="C61" s="6">
        <v>1</v>
      </c>
      <c r="D61" s="7">
        <v>24.99</v>
      </c>
      <c r="E61" s="6" t="s">
        <v>3341</v>
      </c>
      <c r="F61" s="5" t="s">
        <v>1036</v>
      </c>
      <c r="G61" s="8"/>
      <c r="H61" s="5" t="s">
        <v>865</v>
      </c>
      <c r="I61" s="5" t="s">
        <v>2765</v>
      </c>
      <c r="J61" s="5" t="s">
        <v>20</v>
      </c>
      <c r="K61" s="5" t="s">
        <v>341</v>
      </c>
      <c r="L61" s="9" t="str">
        <f>HYPERLINK("http://slimages.macys.com/is/image/MCY/9651869 ")</f>
        <v xml:space="preserve">http://slimages.macys.com/is/image/MCY/9651869 </v>
      </c>
    </row>
    <row r="62" spans="1:12" ht="36.75" x14ac:dyDescent="0.25">
      <c r="A62" s="4" t="s">
        <v>3342</v>
      </c>
      <c r="B62" s="5" t="s">
        <v>3343</v>
      </c>
      <c r="C62" s="6">
        <v>2</v>
      </c>
      <c r="D62" s="7">
        <v>59.98</v>
      </c>
      <c r="E62" s="6" t="s">
        <v>3344</v>
      </c>
      <c r="F62" s="5" t="s">
        <v>674</v>
      </c>
      <c r="G62" s="8" t="s">
        <v>954</v>
      </c>
      <c r="H62" s="5" t="s">
        <v>916</v>
      </c>
      <c r="I62" s="5" t="s">
        <v>917</v>
      </c>
      <c r="J62" s="5" t="s">
        <v>20</v>
      </c>
      <c r="K62" s="5" t="s">
        <v>341</v>
      </c>
      <c r="L62" s="9" t="str">
        <f>HYPERLINK("http://slimages.macys.com/is/image/MCY/13285480 ")</f>
        <v xml:space="preserve">http://slimages.macys.com/is/image/MCY/13285480 </v>
      </c>
    </row>
    <row r="63" spans="1:12" ht="36.75" x14ac:dyDescent="0.25">
      <c r="A63" s="4" t="s">
        <v>3345</v>
      </c>
      <c r="B63" s="5" t="s">
        <v>3346</v>
      </c>
      <c r="C63" s="6">
        <v>1</v>
      </c>
      <c r="D63" s="7">
        <v>29.99</v>
      </c>
      <c r="E63" s="6" t="s">
        <v>3347</v>
      </c>
      <c r="F63" s="5" t="s">
        <v>628</v>
      </c>
      <c r="G63" s="8"/>
      <c r="H63" s="5" t="s">
        <v>772</v>
      </c>
      <c r="I63" s="5" t="s">
        <v>773</v>
      </c>
      <c r="J63" s="5" t="s">
        <v>20</v>
      </c>
      <c r="K63" s="5"/>
      <c r="L63" s="9" t="str">
        <f>HYPERLINK("http://slimages.macys.com/is/image/MCY/8432521 ")</f>
        <v xml:space="preserve">http://slimages.macys.com/is/image/MCY/8432521 </v>
      </c>
    </row>
    <row r="64" spans="1:12" ht="48.75" x14ac:dyDescent="0.25">
      <c r="A64" s="4" t="s">
        <v>3348</v>
      </c>
      <c r="B64" s="5" t="s">
        <v>3349</v>
      </c>
      <c r="C64" s="6">
        <v>2</v>
      </c>
      <c r="D64" s="7">
        <v>39.979999999999997</v>
      </c>
      <c r="E64" s="6" t="s">
        <v>3350</v>
      </c>
      <c r="F64" s="5" t="s">
        <v>3351</v>
      </c>
      <c r="G64" s="8" t="s">
        <v>3352</v>
      </c>
      <c r="H64" s="5" t="s">
        <v>1157</v>
      </c>
      <c r="I64" s="5" t="s">
        <v>1158</v>
      </c>
      <c r="J64" s="5" t="s">
        <v>20</v>
      </c>
      <c r="K64" s="5" t="s">
        <v>341</v>
      </c>
      <c r="L64" s="9" t="str">
        <f>HYPERLINK("http://slimages.macys.com/is/image/MCY/9962009 ")</f>
        <v xml:space="preserve">http://slimages.macys.com/is/image/MCY/9962009 </v>
      </c>
    </row>
    <row r="65" spans="1:12" ht="39.950000000000003" customHeight="1" x14ac:dyDescent="0.25">
      <c r="A65" s="4" t="s">
        <v>3353</v>
      </c>
      <c r="B65" s="5" t="s">
        <v>1744</v>
      </c>
      <c r="C65" s="6">
        <v>1</v>
      </c>
      <c r="D65" s="7">
        <v>29.99</v>
      </c>
      <c r="E65" s="6" t="s">
        <v>3354</v>
      </c>
      <c r="F65" s="5" t="s">
        <v>1121</v>
      </c>
      <c r="G65" s="8" t="s">
        <v>1012</v>
      </c>
      <c r="H65" s="5" t="s">
        <v>940</v>
      </c>
      <c r="I65" s="5" t="s">
        <v>1681</v>
      </c>
      <c r="J65" s="5" t="s">
        <v>1715</v>
      </c>
      <c r="K65" s="5" t="s">
        <v>330</v>
      </c>
      <c r="L65" s="9" t="str">
        <f>HYPERLINK("http://images.bloomingdales.com/is/image/BLM/10230973 ")</f>
        <v xml:space="preserve">http://images.bloomingdales.com/is/image/BLM/10230973 </v>
      </c>
    </row>
    <row r="66" spans="1:12" ht="24.75" x14ac:dyDescent="0.25">
      <c r="A66" s="4" t="s">
        <v>3355</v>
      </c>
      <c r="B66" s="5" t="s">
        <v>3356</v>
      </c>
      <c r="C66" s="6">
        <v>1</v>
      </c>
      <c r="D66" s="7">
        <v>21.99</v>
      </c>
      <c r="E66" s="6" t="s">
        <v>3357</v>
      </c>
      <c r="F66" s="5" t="s">
        <v>755</v>
      </c>
      <c r="G66" s="8"/>
      <c r="H66" s="5" t="s">
        <v>865</v>
      </c>
      <c r="I66" s="5" t="s">
        <v>941</v>
      </c>
      <c r="J66" s="5" t="s">
        <v>20</v>
      </c>
      <c r="K66" s="5" t="s">
        <v>1652</v>
      </c>
      <c r="L66" s="9" t="str">
        <f>HYPERLINK("http://slimages.macys.com/is/image/MCY/12045786 ")</f>
        <v xml:space="preserve">http://slimages.macys.com/is/image/MCY/12045786 </v>
      </c>
    </row>
    <row r="67" spans="1:12" ht="24.75" x14ac:dyDescent="0.25">
      <c r="A67" s="4" t="s">
        <v>3358</v>
      </c>
      <c r="B67" s="5" t="s">
        <v>3311</v>
      </c>
      <c r="C67" s="6">
        <v>1</v>
      </c>
      <c r="D67" s="7">
        <v>38</v>
      </c>
      <c r="E67" s="6" t="s">
        <v>3359</v>
      </c>
      <c r="F67" s="5" t="s">
        <v>394</v>
      </c>
      <c r="G67" s="8" t="s">
        <v>1012</v>
      </c>
      <c r="H67" s="5" t="s">
        <v>940</v>
      </c>
      <c r="I67" s="5" t="s">
        <v>1681</v>
      </c>
      <c r="J67" s="5" t="s">
        <v>1715</v>
      </c>
      <c r="K67" s="5" t="s">
        <v>330</v>
      </c>
      <c r="L67" s="9" t="str">
        <f>HYPERLINK("http://images.bloomingdales.com/is/image/BLM/10230973 ")</f>
        <v xml:space="preserve">http://images.bloomingdales.com/is/image/BLM/10230973 </v>
      </c>
    </row>
    <row r="68" spans="1:12" ht="36.75" x14ac:dyDescent="0.25">
      <c r="A68" s="4" t="s">
        <v>3360</v>
      </c>
      <c r="B68" s="5" t="s">
        <v>3361</v>
      </c>
      <c r="C68" s="6">
        <v>2</v>
      </c>
      <c r="D68" s="7">
        <v>33.979999999999997</v>
      </c>
      <c r="E68" s="6" t="s">
        <v>3362</v>
      </c>
      <c r="F68" s="5" t="s">
        <v>349</v>
      </c>
      <c r="G68" s="8"/>
      <c r="H68" s="5" t="s">
        <v>745</v>
      </c>
      <c r="I68" s="5" t="s">
        <v>3363</v>
      </c>
      <c r="J68" s="5" t="s">
        <v>20</v>
      </c>
      <c r="K68" s="5" t="s">
        <v>3364</v>
      </c>
      <c r="L68" s="9" t="str">
        <f>HYPERLINK("http://slimages.macys.com/is/image/MCY/16547151 ")</f>
        <v xml:space="preserve">http://slimages.macys.com/is/image/MCY/16547151 </v>
      </c>
    </row>
    <row r="69" spans="1:12" ht="36.75" x14ac:dyDescent="0.25">
      <c r="A69" s="4" t="s">
        <v>3365</v>
      </c>
      <c r="B69" s="5" t="s">
        <v>3366</v>
      </c>
      <c r="C69" s="6">
        <v>1</v>
      </c>
      <c r="D69" s="7">
        <v>13.99</v>
      </c>
      <c r="E69" s="6" t="s">
        <v>3367</v>
      </c>
      <c r="F69" s="5" t="s">
        <v>755</v>
      </c>
      <c r="G69" s="8" t="s">
        <v>3368</v>
      </c>
      <c r="H69" s="5" t="s">
        <v>782</v>
      </c>
      <c r="I69" s="5" t="s">
        <v>3369</v>
      </c>
      <c r="J69" s="5"/>
      <c r="K69" s="5"/>
      <c r="L69" s="9" t="str">
        <f>HYPERLINK("http://slimages.macys.com/is/image/MCY/17899743 ")</f>
        <v xml:space="preserve">http://slimages.macys.com/is/image/MCY/17899743 </v>
      </c>
    </row>
    <row r="70" spans="1:12" ht="48.75" x14ac:dyDescent="0.25">
      <c r="A70" s="4" t="s">
        <v>3370</v>
      </c>
      <c r="B70" s="5" t="s">
        <v>3371</v>
      </c>
      <c r="C70" s="6">
        <v>1</v>
      </c>
      <c r="D70" s="7">
        <v>29.99</v>
      </c>
      <c r="E70" s="6" t="s">
        <v>3372</v>
      </c>
      <c r="F70" s="5" t="s">
        <v>3351</v>
      </c>
      <c r="G70" s="8"/>
      <c r="H70" s="5" t="s">
        <v>1157</v>
      </c>
      <c r="I70" s="5" t="s">
        <v>1158</v>
      </c>
      <c r="J70" s="5" t="s">
        <v>20</v>
      </c>
      <c r="K70" s="5" t="s">
        <v>341</v>
      </c>
      <c r="L70" s="9" t="str">
        <f>HYPERLINK("http://slimages.macys.com/is/image/MCY/9356962 ")</f>
        <v xml:space="preserve">http://slimages.macys.com/is/image/MCY/9356962 </v>
      </c>
    </row>
    <row r="71" spans="1:12" ht="36.75" x14ac:dyDescent="0.25">
      <c r="A71" s="4" t="s">
        <v>3373</v>
      </c>
      <c r="B71" s="5" t="s">
        <v>3374</v>
      </c>
      <c r="C71" s="6">
        <v>1</v>
      </c>
      <c r="D71" s="7">
        <v>9.99</v>
      </c>
      <c r="E71" s="6">
        <v>1009933000</v>
      </c>
      <c r="F71" s="5" t="s">
        <v>89</v>
      </c>
      <c r="G71" s="8" t="s">
        <v>1012</v>
      </c>
      <c r="H71" s="5" t="s">
        <v>916</v>
      </c>
      <c r="I71" s="5" t="s">
        <v>1561</v>
      </c>
      <c r="J71" s="5"/>
      <c r="K71" s="5"/>
      <c r="L71" s="9" t="str">
        <f>HYPERLINK("http://slimages.macys.com/is/image/MCY/18305397 ")</f>
        <v xml:space="preserve">http://slimages.macys.com/is/image/MCY/18305397 </v>
      </c>
    </row>
    <row r="72" spans="1:12" ht="36.75" x14ac:dyDescent="0.25">
      <c r="A72" s="4" t="s">
        <v>3375</v>
      </c>
      <c r="B72" s="5" t="s">
        <v>3376</v>
      </c>
      <c r="C72" s="6">
        <v>1</v>
      </c>
      <c r="D72" s="7">
        <v>89.99</v>
      </c>
      <c r="E72" s="6" t="s">
        <v>3377</v>
      </c>
      <c r="F72" s="5" t="s">
        <v>89</v>
      </c>
      <c r="G72" s="8"/>
      <c r="H72" s="5" t="s">
        <v>1528</v>
      </c>
      <c r="I72" s="5" t="s">
        <v>3378</v>
      </c>
      <c r="J72" s="5"/>
      <c r="K72" s="5"/>
      <c r="L72" s="9"/>
    </row>
    <row r="73" spans="1:12" ht="24.75" x14ac:dyDescent="0.25">
      <c r="A73" s="4" t="s">
        <v>1019</v>
      </c>
      <c r="B73" s="5" t="s">
        <v>694</v>
      </c>
      <c r="C73" s="6">
        <v>7</v>
      </c>
      <c r="D73" s="7">
        <v>280</v>
      </c>
      <c r="E73" s="6"/>
      <c r="F73" s="5" t="s">
        <v>16</v>
      </c>
      <c r="G73" s="8" t="s">
        <v>17</v>
      </c>
      <c r="H73" s="5" t="s">
        <v>695</v>
      </c>
      <c r="I73" s="5" t="s">
        <v>696</v>
      </c>
      <c r="J73" s="5"/>
      <c r="K73" s="5"/>
      <c r="L73" s="9"/>
    </row>
    <row r="74" spans="1:12" ht="36.75" x14ac:dyDescent="0.25">
      <c r="A74" s="4" t="s">
        <v>3379</v>
      </c>
      <c r="B74" s="5" t="s">
        <v>3380</v>
      </c>
      <c r="C74" s="6">
        <v>1</v>
      </c>
      <c r="D74" s="7">
        <v>89.99</v>
      </c>
      <c r="E74" s="6" t="s">
        <v>3381</v>
      </c>
      <c r="F74" s="5" t="s">
        <v>349</v>
      </c>
      <c r="G74" s="8"/>
      <c r="H74" s="5" t="s">
        <v>765</v>
      </c>
      <c r="I74" s="5" t="s">
        <v>2493</v>
      </c>
      <c r="J74" s="5"/>
      <c r="K74" s="5"/>
      <c r="L74" s="9"/>
    </row>
    <row r="75" spans="1:12" ht="24.75" x14ac:dyDescent="0.25">
      <c r="A75" s="4" t="s">
        <v>3382</v>
      </c>
      <c r="B75" s="5" t="s">
        <v>3383</v>
      </c>
      <c r="C75" s="6">
        <v>1</v>
      </c>
      <c r="D75" s="7">
        <v>48</v>
      </c>
      <c r="E75" s="6" t="s">
        <v>3384</v>
      </c>
      <c r="F75" s="5" t="s">
        <v>628</v>
      </c>
      <c r="G75" s="8"/>
      <c r="H75" s="5" t="s">
        <v>2711</v>
      </c>
      <c r="I75" s="5" t="s">
        <v>3385</v>
      </c>
      <c r="J75" s="5"/>
      <c r="K75" s="5"/>
      <c r="L75" s="9"/>
    </row>
    <row r="76" spans="1:12" ht="36.75" x14ac:dyDescent="0.25">
      <c r="A76" s="4" t="s">
        <v>3386</v>
      </c>
      <c r="B76" s="5" t="s">
        <v>3387</v>
      </c>
      <c r="C76" s="6">
        <v>1</v>
      </c>
      <c r="D76" s="7">
        <v>39.99</v>
      </c>
      <c r="E76" s="6" t="s">
        <v>3388</v>
      </c>
      <c r="F76" s="5"/>
      <c r="G76" s="8"/>
      <c r="H76" s="5" t="s">
        <v>712</v>
      </c>
      <c r="I76" s="5" t="s">
        <v>1576</v>
      </c>
      <c r="J76" s="5"/>
      <c r="K76" s="5"/>
      <c r="L76" s="9"/>
    </row>
    <row r="77" spans="1:12" ht="36.75" x14ac:dyDescent="0.25">
      <c r="A77" s="4" t="s">
        <v>3389</v>
      </c>
      <c r="B77" s="5" t="s">
        <v>3390</v>
      </c>
      <c r="C77" s="6">
        <v>2</v>
      </c>
      <c r="D77" s="7">
        <v>59.98</v>
      </c>
      <c r="E77" s="6" t="s">
        <v>3391</v>
      </c>
      <c r="F77" s="5"/>
      <c r="G77" s="8"/>
      <c r="H77" s="5" t="s">
        <v>712</v>
      </c>
      <c r="I77" s="5" t="s">
        <v>1576</v>
      </c>
      <c r="J77" s="5"/>
      <c r="K77" s="5"/>
      <c r="L77" s="9"/>
    </row>
    <row r="78" spans="1:12" ht="24.75" x14ac:dyDescent="0.25">
      <c r="A78" s="4" t="s">
        <v>3392</v>
      </c>
      <c r="B78" s="5" t="s">
        <v>3393</v>
      </c>
      <c r="C78" s="6">
        <v>1</v>
      </c>
      <c r="D78" s="7">
        <v>85</v>
      </c>
      <c r="E78" s="6" t="s">
        <v>3394</v>
      </c>
      <c r="F78" s="5" t="s">
        <v>610</v>
      </c>
      <c r="G78" s="8"/>
      <c r="H78" s="5" t="s">
        <v>1528</v>
      </c>
      <c r="I78" s="5" t="s">
        <v>3246</v>
      </c>
      <c r="J78" s="5"/>
      <c r="K78" s="5"/>
      <c r="L78" s="9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6"/>
  <sheetViews>
    <sheetView topLeftCell="A13" workbookViewId="0">
      <selection activeCell="L20" sqref="L20"/>
    </sheetView>
  </sheetViews>
  <sheetFormatPr defaultRowHeight="39.950000000000003" customHeight="1" x14ac:dyDescent="0.25"/>
  <cols>
    <col min="1" max="1" width="14.140625" style="24" bestFit="1" customWidth="1"/>
    <col min="2" max="2" width="25" style="24" bestFit="1" customWidth="1"/>
    <col min="3" max="3" width="12.42578125" style="24" bestFit="1" customWidth="1"/>
    <col min="4" max="4" width="8.7109375" style="24" bestFit="1" customWidth="1"/>
    <col min="5" max="5" width="16.7109375" style="24" bestFit="1" customWidth="1"/>
    <col min="6" max="6" width="11.28515625" style="24" bestFit="1" customWidth="1"/>
    <col min="7" max="7" width="10.85546875" style="24" customWidth="1"/>
    <col min="8" max="8" width="12.140625" style="24" customWidth="1"/>
    <col min="9" max="9" width="36.5703125" style="24" bestFit="1" customWidth="1"/>
    <col min="10" max="10" width="17.7109375" style="24" bestFit="1" customWidth="1"/>
    <col min="11" max="11" width="20.7109375" style="24" customWidth="1"/>
    <col min="12" max="12" width="28.140625" style="24" customWidth="1"/>
    <col min="13" max="16384" width="9.140625" style="24"/>
  </cols>
  <sheetData>
    <row r="1" spans="1:12" ht="39.950000000000003" customHeight="1" x14ac:dyDescent="0.25">
      <c r="A1" s="18" t="s">
        <v>2</v>
      </c>
      <c r="B1" s="18" t="s">
        <v>3</v>
      </c>
      <c r="C1" s="18" t="s">
        <v>4</v>
      </c>
      <c r="D1" s="18" t="s">
        <v>5</v>
      </c>
      <c r="E1" s="18" t="s">
        <v>6</v>
      </c>
      <c r="F1" s="18" t="s">
        <v>7</v>
      </c>
      <c r="G1" s="18" t="s">
        <v>8</v>
      </c>
      <c r="H1" s="18" t="s">
        <v>9</v>
      </c>
      <c r="I1" s="18" t="s">
        <v>10</v>
      </c>
      <c r="J1" s="18" t="s">
        <v>11</v>
      </c>
      <c r="K1" s="18" t="s">
        <v>12</v>
      </c>
      <c r="L1" s="18" t="s">
        <v>13</v>
      </c>
    </row>
    <row r="2" spans="1:12" ht="39.950000000000003" customHeight="1" x14ac:dyDescent="0.25">
      <c r="A2" s="19" t="s">
        <v>14</v>
      </c>
      <c r="B2" s="20" t="s">
        <v>15</v>
      </c>
      <c r="C2" s="21">
        <v>1</v>
      </c>
      <c r="D2" s="22">
        <v>109.99</v>
      </c>
      <c r="E2" s="21">
        <v>10004171400</v>
      </c>
      <c r="F2" s="20" t="s">
        <v>16</v>
      </c>
      <c r="G2" s="19" t="s">
        <v>17</v>
      </c>
      <c r="H2" s="20" t="s">
        <v>18</v>
      </c>
      <c r="I2" s="20" t="s">
        <v>19</v>
      </c>
      <c r="J2" s="20" t="s">
        <v>20</v>
      </c>
      <c r="K2" s="20" t="s">
        <v>21</v>
      </c>
      <c r="L2" s="23" t="str">
        <f>HYPERLINK("http://slimages.macys.com/is/image/MCY/11387979 ")</f>
        <v xml:space="preserve">http://slimages.macys.com/is/image/MCY/11387979 </v>
      </c>
    </row>
    <row r="3" spans="1:12" ht="39.950000000000003" customHeight="1" x14ac:dyDescent="0.25">
      <c r="A3" s="19" t="s">
        <v>22</v>
      </c>
      <c r="B3" s="20" t="s">
        <v>23</v>
      </c>
      <c r="C3" s="21">
        <v>1</v>
      </c>
      <c r="D3" s="22">
        <v>75</v>
      </c>
      <c r="E3" s="21">
        <v>154386</v>
      </c>
      <c r="F3" s="20" t="s">
        <v>16</v>
      </c>
      <c r="G3" s="19" t="s">
        <v>24</v>
      </c>
      <c r="H3" s="20" t="s">
        <v>25</v>
      </c>
      <c r="I3" s="20" t="s">
        <v>26</v>
      </c>
      <c r="J3" s="20"/>
      <c r="K3" s="20" t="s">
        <v>27</v>
      </c>
      <c r="L3" s="23" t="str">
        <f>HYPERLINK("http://slimages.macys.com/is/image/MCY/896848 ")</f>
        <v xml:space="preserve">http://slimages.macys.com/is/image/MCY/896848 </v>
      </c>
    </row>
    <row r="4" spans="1:12" ht="39.950000000000003" customHeight="1" x14ac:dyDescent="0.25">
      <c r="A4" s="19" t="s">
        <v>28</v>
      </c>
      <c r="B4" s="20" t="s">
        <v>29</v>
      </c>
      <c r="C4" s="21">
        <v>3</v>
      </c>
      <c r="D4" s="22">
        <v>224.97</v>
      </c>
      <c r="E4" s="21" t="s">
        <v>30</v>
      </c>
      <c r="F4" s="20" t="s">
        <v>31</v>
      </c>
      <c r="G4" s="19" t="s">
        <v>17</v>
      </c>
      <c r="H4" s="20" t="s">
        <v>32</v>
      </c>
      <c r="I4" s="20" t="s">
        <v>33</v>
      </c>
      <c r="J4" s="20"/>
      <c r="K4" s="20" t="s">
        <v>34</v>
      </c>
      <c r="L4" s="23" t="str">
        <f>HYPERLINK("http://slimages.macys.com/is/image/MCY/14716430 ")</f>
        <v xml:space="preserve">http://slimages.macys.com/is/image/MCY/14716430 </v>
      </c>
    </row>
    <row r="5" spans="1:12" ht="39.950000000000003" customHeight="1" x14ac:dyDescent="0.25">
      <c r="A5" s="19" t="s">
        <v>35</v>
      </c>
      <c r="B5" s="20" t="s">
        <v>36</v>
      </c>
      <c r="C5" s="21">
        <v>1</v>
      </c>
      <c r="D5" s="22">
        <v>99</v>
      </c>
      <c r="E5" s="21">
        <v>40021897</v>
      </c>
      <c r="F5" s="20" t="s">
        <v>16</v>
      </c>
      <c r="G5" s="19"/>
      <c r="H5" s="20" t="s">
        <v>25</v>
      </c>
      <c r="I5" s="20" t="s">
        <v>26</v>
      </c>
      <c r="J5" s="20" t="s">
        <v>20</v>
      </c>
      <c r="K5" s="20" t="s">
        <v>27</v>
      </c>
      <c r="L5" s="23" t="str">
        <f>HYPERLINK("http://slimages.macys.com/is/image/MCY/8376755 ")</f>
        <v xml:space="preserve">http://slimages.macys.com/is/image/MCY/8376755 </v>
      </c>
    </row>
    <row r="6" spans="1:12" ht="39.950000000000003" customHeight="1" x14ac:dyDescent="0.25">
      <c r="A6" s="19" t="s">
        <v>37</v>
      </c>
      <c r="B6" s="20" t="s">
        <v>38</v>
      </c>
      <c r="C6" s="21">
        <v>1</v>
      </c>
      <c r="D6" s="22">
        <v>40</v>
      </c>
      <c r="E6" s="21" t="s">
        <v>39</v>
      </c>
      <c r="F6" s="20" t="s">
        <v>16</v>
      </c>
      <c r="G6" s="19" t="s">
        <v>40</v>
      </c>
      <c r="H6" s="20" t="s">
        <v>41</v>
      </c>
      <c r="I6" s="20" t="s">
        <v>42</v>
      </c>
      <c r="J6" s="20"/>
      <c r="K6" s="20" t="s">
        <v>21</v>
      </c>
      <c r="L6" s="23" t="str">
        <f>HYPERLINK("http://slimages.macys.com/is/image/MCY/849629 ")</f>
        <v xml:space="preserve">http://slimages.macys.com/is/image/MCY/849629 </v>
      </c>
    </row>
    <row r="7" spans="1:12" ht="39.950000000000003" customHeight="1" x14ac:dyDescent="0.25">
      <c r="A7" s="19" t="s">
        <v>43</v>
      </c>
      <c r="B7" s="20" t="s">
        <v>44</v>
      </c>
      <c r="C7" s="21">
        <v>1</v>
      </c>
      <c r="D7" s="22">
        <v>79.989999999999995</v>
      </c>
      <c r="E7" s="21">
        <v>10008455700</v>
      </c>
      <c r="F7" s="20" t="s">
        <v>16</v>
      </c>
      <c r="G7" s="19" t="s">
        <v>17</v>
      </c>
      <c r="H7" s="20" t="s">
        <v>18</v>
      </c>
      <c r="I7" s="20" t="s">
        <v>19</v>
      </c>
      <c r="J7" s="20" t="s">
        <v>20</v>
      </c>
      <c r="K7" s="20" t="s">
        <v>21</v>
      </c>
      <c r="L7" s="23" t="str">
        <f>HYPERLINK("http://slimages.macys.com/is/image/MCY/15910533 ")</f>
        <v xml:space="preserve">http://slimages.macys.com/is/image/MCY/15910533 </v>
      </c>
    </row>
    <row r="8" spans="1:12" ht="39.950000000000003" customHeight="1" x14ac:dyDescent="0.25">
      <c r="A8" s="19" t="s">
        <v>45</v>
      </c>
      <c r="B8" s="20" t="s">
        <v>46</v>
      </c>
      <c r="C8" s="21">
        <v>4</v>
      </c>
      <c r="D8" s="22">
        <v>239.96</v>
      </c>
      <c r="E8" s="21" t="s">
        <v>47</v>
      </c>
      <c r="F8" s="20" t="s">
        <v>16</v>
      </c>
      <c r="G8" s="19" t="s">
        <v>17</v>
      </c>
      <c r="H8" s="20" t="s">
        <v>48</v>
      </c>
      <c r="I8" s="20" t="s">
        <v>49</v>
      </c>
      <c r="J8" s="20" t="s">
        <v>20</v>
      </c>
      <c r="K8" s="20" t="s">
        <v>50</v>
      </c>
      <c r="L8" s="23" t="str">
        <f>HYPERLINK("http://slimages.macys.com/is/image/MCY/10264154 ")</f>
        <v xml:space="preserve">http://slimages.macys.com/is/image/MCY/10264154 </v>
      </c>
    </row>
    <row r="9" spans="1:12" ht="39.950000000000003" customHeight="1" x14ac:dyDescent="0.25">
      <c r="A9" s="19" t="s">
        <v>51</v>
      </c>
      <c r="B9" s="20" t="s">
        <v>52</v>
      </c>
      <c r="C9" s="21">
        <v>1</v>
      </c>
      <c r="D9" s="22">
        <v>49.99</v>
      </c>
      <c r="E9" s="21" t="s">
        <v>53</v>
      </c>
      <c r="F9" s="20" t="s">
        <v>54</v>
      </c>
      <c r="G9" s="19" t="s">
        <v>55</v>
      </c>
      <c r="H9" s="20" t="s">
        <v>56</v>
      </c>
      <c r="I9" s="20" t="s">
        <v>57</v>
      </c>
      <c r="J9" s="20" t="s">
        <v>20</v>
      </c>
      <c r="K9" s="20" t="s">
        <v>58</v>
      </c>
      <c r="L9" s="23" t="str">
        <f>HYPERLINK("http://slimages.macys.com/is/image/MCY/2555969 ")</f>
        <v xml:space="preserve">http://slimages.macys.com/is/image/MCY/2555969 </v>
      </c>
    </row>
    <row r="10" spans="1:12" ht="39.950000000000003" customHeight="1" x14ac:dyDescent="0.25">
      <c r="A10" s="19" t="s">
        <v>59</v>
      </c>
      <c r="B10" s="20" t="s">
        <v>60</v>
      </c>
      <c r="C10" s="21">
        <v>1</v>
      </c>
      <c r="D10" s="22">
        <v>49.99</v>
      </c>
      <c r="E10" s="21" t="s">
        <v>61</v>
      </c>
      <c r="F10" s="20" t="s">
        <v>54</v>
      </c>
      <c r="G10" s="19" t="s">
        <v>55</v>
      </c>
      <c r="H10" s="20" t="s">
        <v>56</v>
      </c>
      <c r="I10" s="20" t="s">
        <v>57</v>
      </c>
      <c r="J10" s="20" t="s">
        <v>20</v>
      </c>
      <c r="K10" s="20" t="s">
        <v>58</v>
      </c>
      <c r="L10" s="23" t="str">
        <f>HYPERLINK("http://slimages.macys.com/is/image/MCY/8173046 ")</f>
        <v xml:space="preserve">http://slimages.macys.com/is/image/MCY/8173046 </v>
      </c>
    </row>
    <row r="11" spans="1:12" ht="39.950000000000003" customHeight="1" x14ac:dyDescent="0.25">
      <c r="A11" s="19" t="s">
        <v>62</v>
      </c>
      <c r="B11" s="20" t="s">
        <v>63</v>
      </c>
      <c r="C11" s="21">
        <v>1</v>
      </c>
      <c r="D11" s="22">
        <v>50</v>
      </c>
      <c r="E11" s="21" t="s">
        <v>64</v>
      </c>
      <c r="F11" s="20" t="s">
        <v>16</v>
      </c>
      <c r="G11" s="19" t="s">
        <v>17</v>
      </c>
      <c r="H11" s="20" t="s">
        <v>65</v>
      </c>
      <c r="I11" s="20" t="s">
        <v>66</v>
      </c>
      <c r="J11" s="20" t="s">
        <v>20</v>
      </c>
      <c r="K11" s="20" t="s">
        <v>67</v>
      </c>
      <c r="L11" s="23" t="str">
        <f>HYPERLINK("http://slimages.macys.com/is/image/MCY/1465116 ")</f>
        <v xml:space="preserve">http://slimages.macys.com/is/image/MCY/1465116 </v>
      </c>
    </row>
    <row r="12" spans="1:12" ht="39.950000000000003" customHeight="1" x14ac:dyDescent="0.25">
      <c r="A12" s="19" t="s">
        <v>68</v>
      </c>
      <c r="B12" s="20" t="s">
        <v>69</v>
      </c>
      <c r="C12" s="21">
        <v>1</v>
      </c>
      <c r="D12" s="22">
        <v>54.99</v>
      </c>
      <c r="E12" s="21" t="s">
        <v>70</v>
      </c>
      <c r="F12" s="20" t="s">
        <v>16</v>
      </c>
      <c r="G12" s="19" t="s">
        <v>71</v>
      </c>
      <c r="H12" s="20" t="s">
        <v>72</v>
      </c>
      <c r="I12" s="20" t="s">
        <v>73</v>
      </c>
      <c r="J12" s="20"/>
      <c r="K12" s="20" t="s">
        <v>74</v>
      </c>
      <c r="L12" s="23" t="str">
        <f>HYPERLINK("http://slimages.macys.com/is/image/MCY/1075816 ")</f>
        <v xml:space="preserve">http://slimages.macys.com/is/image/MCY/1075816 </v>
      </c>
    </row>
    <row r="13" spans="1:12" ht="39.950000000000003" customHeight="1" x14ac:dyDescent="0.25">
      <c r="A13" s="19" t="s">
        <v>75</v>
      </c>
      <c r="B13" s="20" t="s">
        <v>76</v>
      </c>
      <c r="C13" s="21">
        <v>1</v>
      </c>
      <c r="D13" s="22">
        <v>66.989999999999995</v>
      </c>
      <c r="E13" s="21" t="s">
        <v>77</v>
      </c>
      <c r="F13" s="20" t="s">
        <v>78</v>
      </c>
      <c r="G13" s="19" t="s">
        <v>17</v>
      </c>
      <c r="H13" s="20" t="s">
        <v>79</v>
      </c>
      <c r="I13" s="20" t="s">
        <v>80</v>
      </c>
      <c r="J13" s="20" t="s">
        <v>20</v>
      </c>
      <c r="K13" s="20" t="s">
        <v>81</v>
      </c>
      <c r="L13" s="23" t="str">
        <f>HYPERLINK("http://slimages.macys.com/is/image/MCY/11658279 ")</f>
        <v xml:space="preserve">http://slimages.macys.com/is/image/MCY/11658279 </v>
      </c>
    </row>
    <row r="14" spans="1:12" ht="39.950000000000003" customHeight="1" x14ac:dyDescent="0.25">
      <c r="A14" s="19" t="s">
        <v>82</v>
      </c>
      <c r="B14" s="20" t="s">
        <v>83</v>
      </c>
      <c r="C14" s="21">
        <v>1</v>
      </c>
      <c r="D14" s="22">
        <v>65</v>
      </c>
      <c r="E14" s="21">
        <v>118271</v>
      </c>
      <c r="F14" s="20" t="s">
        <v>16</v>
      </c>
      <c r="G14" s="19" t="s">
        <v>84</v>
      </c>
      <c r="H14" s="20" t="s">
        <v>85</v>
      </c>
      <c r="I14" s="20" t="s">
        <v>26</v>
      </c>
      <c r="J14" s="20"/>
      <c r="K14" s="20"/>
      <c r="L14" s="23" t="str">
        <f>HYPERLINK("http://slimages.macys.com/is/image/MCY/293564 ")</f>
        <v xml:space="preserve">http://slimages.macys.com/is/image/MCY/293564 </v>
      </c>
    </row>
    <row r="15" spans="1:12" ht="39.950000000000003" customHeight="1" x14ac:dyDescent="0.25">
      <c r="A15" s="19" t="s">
        <v>86</v>
      </c>
      <c r="B15" s="20" t="s">
        <v>87</v>
      </c>
      <c r="C15" s="21">
        <v>1</v>
      </c>
      <c r="D15" s="22">
        <v>41</v>
      </c>
      <c r="E15" s="21" t="s">
        <v>88</v>
      </c>
      <c r="F15" s="20" t="s">
        <v>89</v>
      </c>
      <c r="G15" s="19" t="s">
        <v>90</v>
      </c>
      <c r="H15" s="20" t="s">
        <v>41</v>
      </c>
      <c r="I15" s="20" t="s">
        <v>91</v>
      </c>
      <c r="J15" s="20" t="s">
        <v>20</v>
      </c>
      <c r="K15" s="20" t="s">
        <v>92</v>
      </c>
      <c r="L15" s="23" t="str">
        <f>HYPERLINK("http://slimages.macys.com/is/image/MCY/8385759 ")</f>
        <v xml:space="preserve">http://slimages.macys.com/is/image/MCY/8385759 </v>
      </c>
    </row>
    <row r="16" spans="1:12" ht="39.950000000000003" customHeight="1" x14ac:dyDescent="0.25">
      <c r="A16" s="19" t="s">
        <v>93</v>
      </c>
      <c r="B16" s="20" t="s">
        <v>94</v>
      </c>
      <c r="C16" s="21">
        <v>1</v>
      </c>
      <c r="D16" s="22">
        <v>40</v>
      </c>
      <c r="E16" s="21" t="s">
        <v>95</v>
      </c>
      <c r="F16" s="20" t="s">
        <v>89</v>
      </c>
      <c r="G16" s="19" t="s">
        <v>96</v>
      </c>
      <c r="H16" s="20" t="s">
        <v>65</v>
      </c>
      <c r="I16" s="20" t="s">
        <v>97</v>
      </c>
      <c r="J16" s="20" t="s">
        <v>20</v>
      </c>
      <c r="K16" s="20" t="s">
        <v>98</v>
      </c>
      <c r="L16" s="23" t="str">
        <f>HYPERLINK("http://slimages.macys.com/is/image/MCY/8695018 ")</f>
        <v xml:space="preserve">http://slimages.macys.com/is/image/MCY/8695018 </v>
      </c>
    </row>
    <row r="17" spans="1:12" ht="39.950000000000003" customHeight="1" x14ac:dyDescent="0.25">
      <c r="A17" s="19" t="s">
        <v>99</v>
      </c>
      <c r="B17" s="20" t="s">
        <v>100</v>
      </c>
      <c r="C17" s="21">
        <v>2</v>
      </c>
      <c r="D17" s="22">
        <v>75.98</v>
      </c>
      <c r="E17" s="21" t="s">
        <v>101</v>
      </c>
      <c r="F17" s="20" t="s">
        <v>16</v>
      </c>
      <c r="G17" s="19" t="s">
        <v>102</v>
      </c>
      <c r="H17" s="20" t="s">
        <v>48</v>
      </c>
      <c r="I17" s="20" t="s">
        <v>103</v>
      </c>
      <c r="J17" s="20"/>
      <c r="K17" s="20" t="s">
        <v>27</v>
      </c>
      <c r="L17" s="23" t="str">
        <f>HYPERLINK("http://slimages.macys.com/is/image/MCY/830776 ")</f>
        <v xml:space="preserve">http://slimages.macys.com/is/image/MCY/830776 </v>
      </c>
    </row>
    <row r="18" spans="1:12" ht="39.950000000000003" customHeight="1" x14ac:dyDescent="0.25">
      <c r="A18" s="19" t="s">
        <v>104</v>
      </c>
      <c r="B18" s="20" t="s">
        <v>105</v>
      </c>
      <c r="C18" s="21">
        <v>1</v>
      </c>
      <c r="D18" s="22">
        <v>32.99</v>
      </c>
      <c r="E18" s="21">
        <v>830324</v>
      </c>
      <c r="F18" s="20" t="s">
        <v>106</v>
      </c>
      <c r="G18" s="19" t="s">
        <v>107</v>
      </c>
      <c r="H18" s="20" t="s">
        <v>108</v>
      </c>
      <c r="I18" s="20" t="s">
        <v>109</v>
      </c>
      <c r="J18" s="20" t="s">
        <v>110</v>
      </c>
      <c r="K18" s="20" t="s">
        <v>111</v>
      </c>
      <c r="L18" s="23" t="str">
        <f>HYPERLINK("http://slimages.macys.com/is/image/MCY/2321215 ")</f>
        <v xml:space="preserve">http://slimages.macys.com/is/image/MCY/2321215 </v>
      </c>
    </row>
    <row r="19" spans="1:12" ht="39.950000000000003" customHeight="1" x14ac:dyDescent="0.25">
      <c r="A19" s="19" t="s">
        <v>112</v>
      </c>
      <c r="B19" s="20" t="s">
        <v>113</v>
      </c>
      <c r="C19" s="21">
        <v>1</v>
      </c>
      <c r="D19" s="22">
        <v>30.1</v>
      </c>
      <c r="E19" s="21" t="s">
        <v>114</v>
      </c>
      <c r="F19" s="20" t="s">
        <v>16</v>
      </c>
      <c r="G19" s="19" t="s">
        <v>115</v>
      </c>
      <c r="H19" s="20" t="s">
        <v>85</v>
      </c>
      <c r="I19" s="20" t="s">
        <v>103</v>
      </c>
      <c r="J19" s="20"/>
      <c r="K19" s="20" t="s">
        <v>116</v>
      </c>
      <c r="L19" s="23" t="str">
        <f>HYPERLINK("http://slimages.macys.com/is/image/MCY/754673 ")</f>
        <v xml:space="preserve">http://slimages.macys.com/is/image/MCY/754673 </v>
      </c>
    </row>
    <row r="20" spans="1:12" ht="39.950000000000003" customHeight="1" x14ac:dyDescent="0.25">
      <c r="A20" s="19" t="s">
        <v>117</v>
      </c>
      <c r="B20" s="20" t="s">
        <v>118</v>
      </c>
      <c r="C20" s="21">
        <v>1</v>
      </c>
      <c r="D20" s="22">
        <v>39.99</v>
      </c>
      <c r="E20" s="21">
        <v>10005037300</v>
      </c>
      <c r="F20" s="20" t="s">
        <v>16</v>
      </c>
      <c r="G20" s="19" t="s">
        <v>17</v>
      </c>
      <c r="H20" s="20" t="s">
        <v>119</v>
      </c>
      <c r="I20" s="20" t="s">
        <v>120</v>
      </c>
      <c r="J20" s="20" t="s">
        <v>20</v>
      </c>
      <c r="K20" s="20" t="s">
        <v>67</v>
      </c>
      <c r="L20" s="23" t="str">
        <f>HYPERLINK("http://slimages.macys.com/is/image/MCY/11496832 ")</f>
        <v xml:space="preserve">http://slimages.macys.com/is/image/MCY/11496832 </v>
      </c>
    </row>
    <row r="21" spans="1:12" ht="39.950000000000003" customHeight="1" x14ac:dyDescent="0.25">
      <c r="A21" s="19" t="s">
        <v>121</v>
      </c>
      <c r="B21" s="20" t="s">
        <v>122</v>
      </c>
      <c r="C21" s="21">
        <v>2</v>
      </c>
      <c r="D21" s="22">
        <v>69.98</v>
      </c>
      <c r="E21" s="21" t="s">
        <v>123</v>
      </c>
      <c r="F21" s="20" t="s">
        <v>16</v>
      </c>
      <c r="G21" s="19" t="s">
        <v>124</v>
      </c>
      <c r="H21" s="20" t="s">
        <v>48</v>
      </c>
      <c r="I21" s="20" t="s">
        <v>103</v>
      </c>
      <c r="J21" s="20"/>
      <c r="K21" s="20" t="s">
        <v>27</v>
      </c>
      <c r="L21" s="23" t="str">
        <f>HYPERLINK("http://slimages.macys.com/is/image/MCY/830774 ")</f>
        <v xml:space="preserve">http://slimages.macys.com/is/image/MCY/830774 </v>
      </c>
    </row>
    <row r="22" spans="1:12" ht="39.950000000000003" customHeight="1" x14ac:dyDescent="0.25">
      <c r="A22" s="19" t="s">
        <v>125</v>
      </c>
      <c r="B22" s="20" t="s">
        <v>126</v>
      </c>
      <c r="C22" s="21">
        <v>2</v>
      </c>
      <c r="D22" s="22">
        <v>69.98</v>
      </c>
      <c r="E22" s="21" t="s">
        <v>127</v>
      </c>
      <c r="F22" s="20" t="s">
        <v>16</v>
      </c>
      <c r="G22" s="19" t="s">
        <v>24</v>
      </c>
      <c r="H22" s="20" t="s">
        <v>48</v>
      </c>
      <c r="I22" s="20" t="s">
        <v>103</v>
      </c>
      <c r="J22" s="20"/>
      <c r="K22" s="20" t="s">
        <v>27</v>
      </c>
      <c r="L22" s="23" t="str">
        <f>HYPERLINK("http://slimages.macys.com/is/image/MCY/830773 ")</f>
        <v xml:space="preserve">http://slimages.macys.com/is/image/MCY/830773 </v>
      </c>
    </row>
    <row r="23" spans="1:12" ht="39.950000000000003" customHeight="1" x14ac:dyDescent="0.25">
      <c r="A23" s="19" t="s">
        <v>128</v>
      </c>
      <c r="B23" s="20" t="s">
        <v>129</v>
      </c>
      <c r="C23" s="21">
        <v>2</v>
      </c>
      <c r="D23" s="22">
        <v>77.98</v>
      </c>
      <c r="E23" s="21" t="s">
        <v>130</v>
      </c>
      <c r="F23" s="20" t="s">
        <v>131</v>
      </c>
      <c r="G23" s="19" t="s">
        <v>17</v>
      </c>
      <c r="H23" s="20" t="s">
        <v>32</v>
      </c>
      <c r="I23" s="20" t="s">
        <v>33</v>
      </c>
      <c r="J23" s="20" t="s">
        <v>132</v>
      </c>
      <c r="K23" s="20" t="s">
        <v>133</v>
      </c>
      <c r="L23" s="23" t="str">
        <f>HYPERLINK("http://slimages.macys.com/is/image/MCY/14464119 ")</f>
        <v xml:space="preserve">http://slimages.macys.com/is/image/MCY/14464119 </v>
      </c>
    </row>
    <row r="24" spans="1:12" ht="39.950000000000003" customHeight="1" x14ac:dyDescent="0.25">
      <c r="A24" s="19" t="s">
        <v>134</v>
      </c>
      <c r="B24" s="20" t="s">
        <v>135</v>
      </c>
      <c r="C24" s="21">
        <v>3</v>
      </c>
      <c r="D24" s="22">
        <v>98.97</v>
      </c>
      <c r="E24" s="21" t="s">
        <v>136</v>
      </c>
      <c r="F24" s="20" t="s">
        <v>16</v>
      </c>
      <c r="G24" s="19" t="s">
        <v>102</v>
      </c>
      <c r="H24" s="20" t="s">
        <v>48</v>
      </c>
      <c r="I24" s="20" t="s">
        <v>103</v>
      </c>
      <c r="J24" s="20"/>
      <c r="K24" s="20" t="s">
        <v>27</v>
      </c>
      <c r="L24" s="23" t="str">
        <f>HYPERLINK("http://slimages.macys.com/is/image/MCY/1083590 ")</f>
        <v xml:space="preserve">http://slimages.macys.com/is/image/MCY/1083590 </v>
      </c>
    </row>
    <row r="25" spans="1:12" ht="39.950000000000003" customHeight="1" x14ac:dyDescent="0.25">
      <c r="A25" s="19" t="s">
        <v>137</v>
      </c>
      <c r="B25" s="20" t="s">
        <v>138</v>
      </c>
      <c r="C25" s="21">
        <v>1</v>
      </c>
      <c r="D25" s="22">
        <v>32.99</v>
      </c>
      <c r="E25" s="21" t="s">
        <v>139</v>
      </c>
      <c r="F25" s="20" t="s">
        <v>16</v>
      </c>
      <c r="G25" s="19" t="s">
        <v>102</v>
      </c>
      <c r="H25" s="20" t="s">
        <v>48</v>
      </c>
      <c r="I25" s="20" t="s">
        <v>103</v>
      </c>
      <c r="J25" s="20"/>
      <c r="K25" s="20" t="s">
        <v>27</v>
      </c>
      <c r="L25" s="23" t="str">
        <f>HYPERLINK("http://slimages.macys.com/is/image/MCY/830747 ")</f>
        <v xml:space="preserve">http://slimages.macys.com/is/image/MCY/830747 </v>
      </c>
    </row>
    <row r="26" spans="1:12" ht="39.950000000000003" customHeight="1" x14ac:dyDescent="0.25">
      <c r="A26" s="19" t="s">
        <v>140</v>
      </c>
      <c r="B26" s="20" t="s">
        <v>141</v>
      </c>
      <c r="C26" s="21">
        <v>1</v>
      </c>
      <c r="D26" s="22">
        <v>32.99</v>
      </c>
      <c r="E26" s="21" t="s">
        <v>142</v>
      </c>
      <c r="F26" s="20" t="s">
        <v>16</v>
      </c>
      <c r="G26" s="19" t="s">
        <v>102</v>
      </c>
      <c r="H26" s="20" t="s">
        <v>48</v>
      </c>
      <c r="I26" s="20" t="s">
        <v>103</v>
      </c>
      <c r="J26" s="20"/>
      <c r="K26" s="20" t="s">
        <v>27</v>
      </c>
      <c r="L26" s="23" t="str">
        <f>HYPERLINK("http://slimages.macys.com/is/image/MCY/1396461 ")</f>
        <v xml:space="preserve">http://slimages.macys.com/is/image/MCY/1396461 </v>
      </c>
    </row>
    <row r="27" spans="1:12" ht="39.950000000000003" customHeight="1" x14ac:dyDescent="0.25">
      <c r="A27" s="19" t="s">
        <v>143</v>
      </c>
      <c r="B27" s="20" t="s">
        <v>144</v>
      </c>
      <c r="C27" s="21">
        <v>4</v>
      </c>
      <c r="D27" s="22">
        <v>139.96</v>
      </c>
      <c r="E27" s="21" t="s">
        <v>145</v>
      </c>
      <c r="F27" s="20" t="s">
        <v>16</v>
      </c>
      <c r="G27" s="19" t="s">
        <v>17</v>
      </c>
      <c r="H27" s="20" t="s">
        <v>18</v>
      </c>
      <c r="I27" s="20" t="s">
        <v>146</v>
      </c>
      <c r="J27" s="20" t="s">
        <v>20</v>
      </c>
      <c r="K27" s="20" t="s">
        <v>67</v>
      </c>
      <c r="L27" s="23" t="str">
        <f>HYPERLINK("http://slimages.macys.com/is/image/MCY/10192272 ")</f>
        <v xml:space="preserve">http://slimages.macys.com/is/image/MCY/10192272 </v>
      </c>
    </row>
    <row r="28" spans="1:12" ht="39.950000000000003" customHeight="1" x14ac:dyDescent="0.25">
      <c r="A28" s="19" t="s">
        <v>147</v>
      </c>
      <c r="B28" s="20" t="s">
        <v>148</v>
      </c>
      <c r="C28" s="21">
        <v>1</v>
      </c>
      <c r="D28" s="22">
        <v>34.99</v>
      </c>
      <c r="E28" s="21" t="s">
        <v>149</v>
      </c>
      <c r="F28" s="20" t="s">
        <v>16</v>
      </c>
      <c r="G28" s="19" t="s">
        <v>17</v>
      </c>
      <c r="H28" s="20" t="s">
        <v>18</v>
      </c>
      <c r="I28" s="20" t="s">
        <v>146</v>
      </c>
      <c r="J28" s="20"/>
      <c r="K28" s="20" t="s">
        <v>67</v>
      </c>
      <c r="L28" s="23" t="str">
        <f>HYPERLINK("http://slimages.macys.com/is/image/MCY/10230966 ")</f>
        <v xml:space="preserve">http://slimages.macys.com/is/image/MCY/10230966 </v>
      </c>
    </row>
    <row r="29" spans="1:12" ht="39.950000000000003" customHeight="1" x14ac:dyDescent="0.25">
      <c r="A29" s="19" t="s">
        <v>150</v>
      </c>
      <c r="B29" s="20" t="s">
        <v>151</v>
      </c>
      <c r="C29" s="21">
        <v>1</v>
      </c>
      <c r="D29" s="22">
        <v>29.99</v>
      </c>
      <c r="E29" s="21">
        <v>55782</v>
      </c>
      <c r="F29" s="20" t="s">
        <v>16</v>
      </c>
      <c r="G29" s="19" t="s">
        <v>17</v>
      </c>
      <c r="H29" s="20" t="s">
        <v>72</v>
      </c>
      <c r="I29" s="20" t="s">
        <v>152</v>
      </c>
      <c r="J29" s="20"/>
      <c r="K29" s="20" t="s">
        <v>67</v>
      </c>
      <c r="L29" s="23" t="str">
        <f>HYPERLINK("http://slimages.macys.com/is/image/MCY/531304 ")</f>
        <v xml:space="preserve">http://slimages.macys.com/is/image/MCY/531304 </v>
      </c>
    </row>
    <row r="30" spans="1:12" ht="39.950000000000003" customHeight="1" x14ac:dyDescent="0.25">
      <c r="A30" s="19" t="s">
        <v>153</v>
      </c>
      <c r="B30" s="20" t="s">
        <v>154</v>
      </c>
      <c r="C30" s="21">
        <v>1</v>
      </c>
      <c r="D30" s="22">
        <v>29.99</v>
      </c>
      <c r="E30" s="21" t="s">
        <v>155</v>
      </c>
      <c r="F30" s="20" t="s">
        <v>16</v>
      </c>
      <c r="G30" s="19" t="s">
        <v>24</v>
      </c>
      <c r="H30" s="20" t="s">
        <v>48</v>
      </c>
      <c r="I30" s="20" t="s">
        <v>103</v>
      </c>
      <c r="J30" s="20"/>
      <c r="K30" s="20" t="s">
        <v>27</v>
      </c>
      <c r="L30" s="23" t="str">
        <f>HYPERLINK("http://slimages.macys.com/is/image/MCY/1083589 ")</f>
        <v xml:space="preserve">http://slimages.macys.com/is/image/MCY/1083589 </v>
      </c>
    </row>
    <row r="31" spans="1:12" ht="39.950000000000003" customHeight="1" x14ac:dyDescent="0.25">
      <c r="A31" s="19" t="s">
        <v>156</v>
      </c>
      <c r="B31" s="20" t="s">
        <v>157</v>
      </c>
      <c r="C31" s="21">
        <v>2</v>
      </c>
      <c r="D31" s="22">
        <v>59.98</v>
      </c>
      <c r="E31" s="21" t="s">
        <v>158</v>
      </c>
      <c r="F31" s="20" t="s">
        <v>16</v>
      </c>
      <c r="G31" s="19" t="s">
        <v>159</v>
      </c>
      <c r="H31" s="20" t="s">
        <v>48</v>
      </c>
      <c r="I31" s="20" t="s">
        <v>103</v>
      </c>
      <c r="J31" s="20"/>
      <c r="K31" s="20" t="s">
        <v>27</v>
      </c>
      <c r="L31" s="23" t="str">
        <f>HYPERLINK("http://slimages.macys.com/is/image/MCY/1083587 ")</f>
        <v xml:space="preserve">http://slimages.macys.com/is/image/MCY/1083587 </v>
      </c>
    </row>
    <row r="32" spans="1:12" ht="39.950000000000003" customHeight="1" x14ac:dyDescent="0.25">
      <c r="A32" s="19" t="s">
        <v>160</v>
      </c>
      <c r="B32" s="20" t="s">
        <v>161</v>
      </c>
      <c r="C32" s="21">
        <v>1</v>
      </c>
      <c r="D32" s="22">
        <v>29.99</v>
      </c>
      <c r="E32" s="21" t="s">
        <v>162</v>
      </c>
      <c r="F32" s="20" t="s">
        <v>16</v>
      </c>
      <c r="G32" s="19" t="s">
        <v>24</v>
      </c>
      <c r="H32" s="20" t="s">
        <v>48</v>
      </c>
      <c r="I32" s="20" t="s">
        <v>103</v>
      </c>
      <c r="J32" s="20"/>
      <c r="K32" s="20" t="s">
        <v>27</v>
      </c>
      <c r="L32" s="23" t="str">
        <f>HYPERLINK("http://slimages.macys.com/is/image/MCY/830744 ")</f>
        <v xml:space="preserve">http://slimages.macys.com/is/image/MCY/830744 </v>
      </c>
    </row>
    <row r="33" spans="1:12" ht="39.950000000000003" customHeight="1" x14ac:dyDescent="0.25">
      <c r="A33" s="19" t="s">
        <v>163</v>
      </c>
      <c r="B33" s="20" t="s">
        <v>164</v>
      </c>
      <c r="C33" s="21">
        <v>1</v>
      </c>
      <c r="D33" s="22">
        <v>29.99</v>
      </c>
      <c r="E33" s="21" t="s">
        <v>165</v>
      </c>
      <c r="F33" s="20" t="s">
        <v>16</v>
      </c>
      <c r="G33" s="19" t="s">
        <v>124</v>
      </c>
      <c r="H33" s="20" t="s">
        <v>48</v>
      </c>
      <c r="I33" s="20" t="s">
        <v>103</v>
      </c>
      <c r="J33" s="20"/>
      <c r="K33" s="20" t="s">
        <v>27</v>
      </c>
      <c r="L33" s="23" t="str">
        <f>HYPERLINK("http://slimages.macys.com/is/image/MCY/1083588 ")</f>
        <v xml:space="preserve">http://slimages.macys.com/is/image/MCY/1083588 </v>
      </c>
    </row>
    <row r="34" spans="1:12" ht="39.950000000000003" customHeight="1" x14ac:dyDescent="0.25">
      <c r="A34" s="19" t="s">
        <v>166</v>
      </c>
      <c r="B34" s="20" t="s">
        <v>167</v>
      </c>
      <c r="C34" s="21">
        <v>1</v>
      </c>
      <c r="D34" s="22">
        <v>29.99</v>
      </c>
      <c r="E34" s="21" t="s">
        <v>168</v>
      </c>
      <c r="F34" s="20" t="s">
        <v>16</v>
      </c>
      <c r="G34" s="19" t="s">
        <v>159</v>
      </c>
      <c r="H34" s="20" t="s">
        <v>48</v>
      </c>
      <c r="I34" s="20" t="s">
        <v>103</v>
      </c>
      <c r="J34" s="20"/>
      <c r="K34" s="20" t="s">
        <v>27</v>
      </c>
      <c r="L34" s="23" t="str">
        <f>HYPERLINK("http://slimages.macys.com/is/image/MCY/830746 ")</f>
        <v xml:space="preserve">http://slimages.macys.com/is/image/MCY/830746 </v>
      </c>
    </row>
    <row r="35" spans="1:12" ht="39.950000000000003" customHeight="1" x14ac:dyDescent="0.25">
      <c r="A35" s="19" t="s">
        <v>169</v>
      </c>
      <c r="B35" s="20" t="s">
        <v>170</v>
      </c>
      <c r="C35" s="21">
        <v>1</v>
      </c>
      <c r="D35" s="22">
        <v>29.99</v>
      </c>
      <c r="E35" s="21" t="s">
        <v>171</v>
      </c>
      <c r="F35" s="20"/>
      <c r="G35" s="19"/>
      <c r="H35" s="20" t="s">
        <v>48</v>
      </c>
      <c r="I35" s="20" t="s">
        <v>172</v>
      </c>
      <c r="J35" s="20" t="s">
        <v>20</v>
      </c>
      <c r="K35" s="20" t="s">
        <v>173</v>
      </c>
      <c r="L35" s="23" t="str">
        <f>HYPERLINK("http://slimages.macys.com/is/image/MCY/8337784 ")</f>
        <v xml:space="preserve">http://slimages.macys.com/is/image/MCY/8337784 </v>
      </c>
    </row>
    <row r="36" spans="1:12" ht="39.950000000000003" customHeight="1" x14ac:dyDescent="0.25">
      <c r="A36" s="19" t="s">
        <v>174</v>
      </c>
      <c r="B36" s="20" t="s">
        <v>175</v>
      </c>
      <c r="C36" s="21">
        <v>1</v>
      </c>
      <c r="D36" s="22">
        <v>29.99</v>
      </c>
      <c r="E36" s="21" t="s">
        <v>176</v>
      </c>
      <c r="F36" s="20" t="s">
        <v>16</v>
      </c>
      <c r="G36" s="19" t="s">
        <v>124</v>
      </c>
      <c r="H36" s="20" t="s">
        <v>48</v>
      </c>
      <c r="I36" s="20" t="s">
        <v>103</v>
      </c>
      <c r="J36" s="20"/>
      <c r="K36" s="20" t="s">
        <v>27</v>
      </c>
      <c r="L36" s="23" t="str">
        <f>HYPERLINK("http://slimages.macys.com/is/image/MCY/1396463 ")</f>
        <v xml:space="preserve">http://slimages.macys.com/is/image/MCY/1396463 </v>
      </c>
    </row>
    <row r="37" spans="1:12" ht="39.950000000000003" customHeight="1" x14ac:dyDescent="0.25">
      <c r="A37" s="19" t="s">
        <v>177</v>
      </c>
      <c r="B37" s="20" t="s">
        <v>178</v>
      </c>
      <c r="C37" s="21">
        <v>1</v>
      </c>
      <c r="D37" s="22">
        <v>44.99</v>
      </c>
      <c r="E37" s="21" t="s">
        <v>179</v>
      </c>
      <c r="F37" s="20" t="s">
        <v>16</v>
      </c>
      <c r="G37" s="19" t="s">
        <v>17</v>
      </c>
      <c r="H37" s="20" t="s">
        <v>72</v>
      </c>
      <c r="I37" s="20" t="s">
        <v>73</v>
      </c>
      <c r="J37" s="20" t="s">
        <v>20</v>
      </c>
      <c r="K37" s="20" t="s">
        <v>180</v>
      </c>
      <c r="L37" s="23" t="str">
        <f>HYPERLINK("http://slimages.macys.com/is/image/MCY/9279775 ")</f>
        <v xml:space="preserve">http://slimages.macys.com/is/image/MCY/9279775 </v>
      </c>
    </row>
    <row r="38" spans="1:12" ht="39.950000000000003" customHeight="1" x14ac:dyDescent="0.25">
      <c r="A38" s="19" t="s">
        <v>181</v>
      </c>
      <c r="B38" s="20" t="s">
        <v>182</v>
      </c>
      <c r="C38" s="21">
        <v>1</v>
      </c>
      <c r="D38" s="22">
        <v>29.4</v>
      </c>
      <c r="E38" s="21" t="s">
        <v>183</v>
      </c>
      <c r="F38" s="20" t="s">
        <v>106</v>
      </c>
      <c r="G38" s="19" t="s">
        <v>184</v>
      </c>
      <c r="H38" s="20" t="s">
        <v>41</v>
      </c>
      <c r="I38" s="20" t="s">
        <v>185</v>
      </c>
      <c r="J38" s="20"/>
      <c r="K38" s="20" t="s">
        <v>98</v>
      </c>
      <c r="L38" s="23" t="str">
        <f>HYPERLINK("http://slimages.macys.com/is/image/MCY/369687 ")</f>
        <v xml:space="preserve">http://slimages.macys.com/is/image/MCY/369687 </v>
      </c>
    </row>
    <row r="39" spans="1:12" ht="39.950000000000003" customHeight="1" x14ac:dyDescent="0.25">
      <c r="A39" s="19" t="s">
        <v>186</v>
      </c>
      <c r="B39" s="20" t="s">
        <v>187</v>
      </c>
      <c r="C39" s="21">
        <v>2</v>
      </c>
      <c r="D39" s="22">
        <v>65.98</v>
      </c>
      <c r="E39" s="21">
        <v>10007257000</v>
      </c>
      <c r="F39" s="20" t="s">
        <v>16</v>
      </c>
      <c r="G39" s="19" t="s">
        <v>17</v>
      </c>
      <c r="H39" s="20" t="s">
        <v>119</v>
      </c>
      <c r="I39" s="20" t="s">
        <v>188</v>
      </c>
      <c r="J39" s="20" t="s">
        <v>20</v>
      </c>
      <c r="K39" s="20" t="s">
        <v>189</v>
      </c>
      <c r="L39" s="23" t="str">
        <f>HYPERLINK("http://slimages.macys.com/is/image/MCY/13396682 ")</f>
        <v xml:space="preserve">http://slimages.macys.com/is/image/MCY/13396682 </v>
      </c>
    </row>
    <row r="40" spans="1:12" ht="39.950000000000003" customHeight="1" x14ac:dyDescent="0.25">
      <c r="A40" s="19" t="s">
        <v>190</v>
      </c>
      <c r="B40" s="20" t="s">
        <v>191</v>
      </c>
      <c r="C40" s="21">
        <v>2</v>
      </c>
      <c r="D40" s="22">
        <v>55.98</v>
      </c>
      <c r="E40" s="21" t="s">
        <v>192</v>
      </c>
      <c r="F40" s="20" t="s">
        <v>16</v>
      </c>
      <c r="G40" s="19" t="s">
        <v>102</v>
      </c>
      <c r="H40" s="20" t="s">
        <v>48</v>
      </c>
      <c r="I40" s="20" t="s">
        <v>103</v>
      </c>
      <c r="J40" s="20"/>
      <c r="K40" s="20" t="s">
        <v>27</v>
      </c>
      <c r="L40" s="23" t="str">
        <f>HYPERLINK("http://slimages.macys.com/is/image/MCY/1414609 ")</f>
        <v xml:space="preserve">http://slimages.macys.com/is/image/MCY/1414609 </v>
      </c>
    </row>
    <row r="41" spans="1:12" ht="39.950000000000003" customHeight="1" x14ac:dyDescent="0.25">
      <c r="A41" s="19" t="s">
        <v>193</v>
      </c>
      <c r="B41" s="20" t="s">
        <v>194</v>
      </c>
      <c r="C41" s="21">
        <v>1</v>
      </c>
      <c r="D41" s="22">
        <v>27.99</v>
      </c>
      <c r="E41" s="21">
        <v>40000615</v>
      </c>
      <c r="F41" s="20" t="s">
        <v>16</v>
      </c>
      <c r="G41" s="19" t="s">
        <v>195</v>
      </c>
      <c r="H41" s="20" t="s">
        <v>85</v>
      </c>
      <c r="I41" s="20" t="s">
        <v>196</v>
      </c>
      <c r="J41" s="20" t="s">
        <v>20</v>
      </c>
      <c r="K41" s="20" t="s">
        <v>197</v>
      </c>
      <c r="L41" s="23" t="str">
        <f>HYPERLINK("http://slimages.macys.com/is/image/MCY/2506453 ")</f>
        <v xml:space="preserve">http://slimages.macys.com/is/image/MCY/2506453 </v>
      </c>
    </row>
    <row r="42" spans="1:12" ht="39.950000000000003" customHeight="1" x14ac:dyDescent="0.25">
      <c r="A42" s="19" t="s">
        <v>198</v>
      </c>
      <c r="B42" s="20" t="s">
        <v>199</v>
      </c>
      <c r="C42" s="21">
        <v>1</v>
      </c>
      <c r="D42" s="22">
        <v>34.99</v>
      </c>
      <c r="E42" s="21">
        <v>10008455400</v>
      </c>
      <c r="F42" s="20" t="s">
        <v>16</v>
      </c>
      <c r="G42" s="19" t="s">
        <v>17</v>
      </c>
      <c r="H42" s="20" t="s">
        <v>18</v>
      </c>
      <c r="I42" s="20" t="s">
        <v>19</v>
      </c>
      <c r="J42" s="20" t="s">
        <v>20</v>
      </c>
      <c r="K42" s="20" t="s">
        <v>21</v>
      </c>
      <c r="L42" s="23" t="str">
        <f>HYPERLINK("http://slimages.macys.com/is/image/MCY/15768447 ")</f>
        <v xml:space="preserve">http://slimages.macys.com/is/image/MCY/15768447 </v>
      </c>
    </row>
    <row r="43" spans="1:12" ht="39.950000000000003" customHeight="1" x14ac:dyDescent="0.25">
      <c r="A43" s="19" t="s">
        <v>200</v>
      </c>
      <c r="B43" s="20" t="s">
        <v>201</v>
      </c>
      <c r="C43" s="21">
        <v>1</v>
      </c>
      <c r="D43" s="22">
        <v>24.99</v>
      </c>
      <c r="E43" s="21" t="s">
        <v>202</v>
      </c>
      <c r="F43" s="20" t="s">
        <v>16</v>
      </c>
      <c r="G43" s="19" t="s">
        <v>24</v>
      </c>
      <c r="H43" s="20" t="s">
        <v>48</v>
      </c>
      <c r="I43" s="20" t="s">
        <v>103</v>
      </c>
      <c r="J43" s="20"/>
      <c r="K43" s="20" t="s">
        <v>27</v>
      </c>
      <c r="L43" s="23" t="str">
        <f>HYPERLINK("http://slimages.macys.com/is/image/MCY/1414610 ")</f>
        <v xml:space="preserve">http://slimages.macys.com/is/image/MCY/1414610 </v>
      </c>
    </row>
    <row r="44" spans="1:12" ht="39.950000000000003" customHeight="1" x14ac:dyDescent="0.25">
      <c r="A44" s="19" t="s">
        <v>203</v>
      </c>
      <c r="B44" s="20" t="s">
        <v>204</v>
      </c>
      <c r="C44" s="21">
        <v>2</v>
      </c>
      <c r="D44" s="22">
        <v>49.98</v>
      </c>
      <c r="E44" s="21" t="s">
        <v>205</v>
      </c>
      <c r="F44" s="20" t="s">
        <v>206</v>
      </c>
      <c r="G44" s="19"/>
      <c r="H44" s="20" t="s">
        <v>48</v>
      </c>
      <c r="I44" s="20" t="s">
        <v>207</v>
      </c>
      <c r="J44" s="20" t="s">
        <v>20</v>
      </c>
      <c r="K44" s="20" t="s">
        <v>208</v>
      </c>
      <c r="L44" s="23" t="str">
        <f>HYPERLINK("http://slimages.macys.com/is/image/MCY/13983195 ")</f>
        <v xml:space="preserve">http://slimages.macys.com/is/image/MCY/13983195 </v>
      </c>
    </row>
    <row r="45" spans="1:12" ht="39.950000000000003" customHeight="1" x14ac:dyDescent="0.25">
      <c r="A45" s="19" t="s">
        <v>209</v>
      </c>
      <c r="B45" s="20" t="s">
        <v>210</v>
      </c>
      <c r="C45" s="21">
        <v>1</v>
      </c>
      <c r="D45" s="22">
        <v>24.99</v>
      </c>
      <c r="E45" s="21" t="s">
        <v>211</v>
      </c>
      <c r="F45" s="20" t="s">
        <v>16</v>
      </c>
      <c r="G45" s="19" t="s">
        <v>159</v>
      </c>
      <c r="H45" s="20" t="s">
        <v>48</v>
      </c>
      <c r="I45" s="20" t="s">
        <v>103</v>
      </c>
      <c r="J45" s="20"/>
      <c r="K45" s="20" t="s">
        <v>27</v>
      </c>
      <c r="L45" s="23" t="str">
        <f>HYPERLINK("http://slimages.macys.com/is/image/MCY/830769 ")</f>
        <v xml:space="preserve">http://slimages.macys.com/is/image/MCY/830769 </v>
      </c>
    </row>
    <row r="46" spans="1:12" ht="39.950000000000003" customHeight="1" x14ac:dyDescent="0.25">
      <c r="A46" s="19" t="s">
        <v>212</v>
      </c>
      <c r="B46" s="20" t="s">
        <v>213</v>
      </c>
      <c r="C46" s="21">
        <v>1</v>
      </c>
      <c r="D46" s="22">
        <v>24.99</v>
      </c>
      <c r="E46" s="21" t="s">
        <v>214</v>
      </c>
      <c r="F46" s="20" t="s">
        <v>16</v>
      </c>
      <c r="G46" s="19" t="s">
        <v>24</v>
      </c>
      <c r="H46" s="20" t="s">
        <v>48</v>
      </c>
      <c r="I46" s="20" t="s">
        <v>103</v>
      </c>
      <c r="J46" s="20"/>
      <c r="K46" s="20" t="s">
        <v>27</v>
      </c>
      <c r="L46" s="23" t="str">
        <f>HYPERLINK("http://slimages.macys.com/is/image/MCY/793710 ")</f>
        <v xml:space="preserve">http://slimages.macys.com/is/image/MCY/793710 </v>
      </c>
    </row>
    <row r="47" spans="1:12" ht="39.950000000000003" customHeight="1" x14ac:dyDescent="0.25">
      <c r="A47" s="19" t="s">
        <v>215</v>
      </c>
      <c r="B47" s="20" t="s">
        <v>216</v>
      </c>
      <c r="C47" s="21">
        <v>1</v>
      </c>
      <c r="D47" s="22">
        <v>24.99</v>
      </c>
      <c r="E47" s="21" t="s">
        <v>217</v>
      </c>
      <c r="F47" s="20" t="s">
        <v>16</v>
      </c>
      <c r="G47" s="19" t="s">
        <v>24</v>
      </c>
      <c r="H47" s="20" t="s">
        <v>48</v>
      </c>
      <c r="I47" s="20" t="s">
        <v>103</v>
      </c>
      <c r="J47" s="20"/>
      <c r="K47" s="20" t="s">
        <v>27</v>
      </c>
      <c r="L47" s="23" t="str">
        <f>HYPERLINK("http://slimages.macys.com/is/image/MCY/830770 ")</f>
        <v xml:space="preserve">http://slimages.macys.com/is/image/MCY/830770 </v>
      </c>
    </row>
    <row r="48" spans="1:12" ht="39.950000000000003" customHeight="1" x14ac:dyDescent="0.25">
      <c r="A48" s="19" t="s">
        <v>218</v>
      </c>
      <c r="B48" s="20" t="s">
        <v>219</v>
      </c>
      <c r="C48" s="21">
        <v>2</v>
      </c>
      <c r="D48" s="22">
        <v>69.98</v>
      </c>
      <c r="E48" s="21">
        <v>58310100053</v>
      </c>
      <c r="F48" s="20" t="s">
        <v>16</v>
      </c>
      <c r="G48" s="19" t="s">
        <v>102</v>
      </c>
      <c r="H48" s="20" t="s">
        <v>48</v>
      </c>
      <c r="I48" s="20" t="s">
        <v>196</v>
      </c>
      <c r="J48" s="20"/>
      <c r="K48" s="20"/>
      <c r="L48" s="23" t="str">
        <f>HYPERLINK("http://slimages.macys.com/is/image/MCY/1607735 ")</f>
        <v xml:space="preserve">http://slimages.macys.com/is/image/MCY/1607735 </v>
      </c>
    </row>
    <row r="49" spans="1:12" ht="39.950000000000003" customHeight="1" x14ac:dyDescent="0.25">
      <c r="A49" s="19" t="s">
        <v>220</v>
      </c>
      <c r="B49" s="20" t="s">
        <v>221</v>
      </c>
      <c r="C49" s="21">
        <v>1</v>
      </c>
      <c r="D49" s="22">
        <v>29.99</v>
      </c>
      <c r="E49" s="21" t="s">
        <v>222</v>
      </c>
      <c r="F49" s="20" t="s">
        <v>16</v>
      </c>
      <c r="G49" s="19" t="s">
        <v>17</v>
      </c>
      <c r="H49" s="20" t="s">
        <v>79</v>
      </c>
      <c r="I49" s="20" t="s">
        <v>223</v>
      </c>
      <c r="J49" s="20" t="s">
        <v>20</v>
      </c>
      <c r="K49" s="20" t="s">
        <v>224</v>
      </c>
      <c r="L49" s="23" t="str">
        <f>HYPERLINK("http://slimages.macys.com/is/image/MCY/15806686 ")</f>
        <v xml:space="preserve">http://slimages.macys.com/is/image/MCY/15806686 </v>
      </c>
    </row>
    <row r="50" spans="1:12" ht="39.950000000000003" customHeight="1" x14ac:dyDescent="0.25">
      <c r="A50" s="19" t="s">
        <v>225</v>
      </c>
      <c r="B50" s="20" t="s">
        <v>226</v>
      </c>
      <c r="C50" s="21">
        <v>1</v>
      </c>
      <c r="D50" s="22">
        <v>22.99</v>
      </c>
      <c r="E50" s="21" t="s">
        <v>227</v>
      </c>
      <c r="F50" s="20" t="s">
        <v>16</v>
      </c>
      <c r="G50" s="19" t="s">
        <v>228</v>
      </c>
      <c r="H50" s="20" t="s">
        <v>229</v>
      </c>
      <c r="I50" s="20" t="s">
        <v>188</v>
      </c>
      <c r="J50" s="20"/>
      <c r="K50" s="20"/>
      <c r="L50" s="23" t="str">
        <f>HYPERLINK("http://slimages.macys.com/is/image/MCY/1639858 ")</f>
        <v xml:space="preserve">http://slimages.macys.com/is/image/MCY/1639858 </v>
      </c>
    </row>
    <row r="51" spans="1:12" ht="39.950000000000003" customHeight="1" x14ac:dyDescent="0.25">
      <c r="A51" s="19" t="s">
        <v>230</v>
      </c>
      <c r="B51" s="20" t="s">
        <v>231</v>
      </c>
      <c r="C51" s="21">
        <v>15</v>
      </c>
      <c r="D51" s="22">
        <v>374.85</v>
      </c>
      <c r="E51" s="21" t="s">
        <v>232</v>
      </c>
      <c r="F51" s="20" t="s">
        <v>16</v>
      </c>
      <c r="G51" s="19" t="s">
        <v>17</v>
      </c>
      <c r="H51" s="20" t="s">
        <v>119</v>
      </c>
      <c r="I51" s="20" t="s">
        <v>152</v>
      </c>
      <c r="J51" s="20" t="s">
        <v>20</v>
      </c>
      <c r="K51" s="20" t="s">
        <v>67</v>
      </c>
      <c r="L51" s="23" t="str">
        <f>HYPERLINK("http://slimages.macys.com/is/image/MCY/11619606 ")</f>
        <v xml:space="preserve">http://slimages.macys.com/is/image/MCY/11619606 </v>
      </c>
    </row>
    <row r="52" spans="1:12" ht="39.950000000000003" customHeight="1" x14ac:dyDescent="0.25">
      <c r="A52" s="19" t="s">
        <v>233</v>
      </c>
      <c r="B52" s="20" t="s">
        <v>234</v>
      </c>
      <c r="C52" s="21">
        <v>1</v>
      </c>
      <c r="D52" s="22">
        <v>24.99</v>
      </c>
      <c r="E52" s="21" t="s">
        <v>235</v>
      </c>
      <c r="F52" s="20" t="s">
        <v>16</v>
      </c>
      <c r="G52" s="19" t="s">
        <v>17</v>
      </c>
      <c r="H52" s="20" t="s">
        <v>119</v>
      </c>
      <c r="I52" s="20" t="s">
        <v>152</v>
      </c>
      <c r="J52" s="20" t="s">
        <v>20</v>
      </c>
      <c r="K52" s="20" t="s">
        <v>67</v>
      </c>
      <c r="L52" s="23" t="str">
        <f>HYPERLINK("http://slimages.macys.com/is/image/MCY/11572048 ")</f>
        <v xml:space="preserve">http://slimages.macys.com/is/image/MCY/11572048 </v>
      </c>
    </row>
    <row r="53" spans="1:12" ht="39.950000000000003" customHeight="1" x14ac:dyDescent="0.25">
      <c r="A53" s="19" t="s">
        <v>236</v>
      </c>
      <c r="B53" s="20" t="s">
        <v>237</v>
      </c>
      <c r="C53" s="21">
        <v>1</v>
      </c>
      <c r="D53" s="22">
        <v>24.99</v>
      </c>
      <c r="E53" s="21" t="s">
        <v>238</v>
      </c>
      <c r="F53" s="20" t="s">
        <v>16</v>
      </c>
      <c r="G53" s="19" t="s">
        <v>17</v>
      </c>
      <c r="H53" s="20" t="s">
        <v>72</v>
      </c>
      <c r="I53" s="20" t="s">
        <v>73</v>
      </c>
      <c r="J53" s="20" t="s">
        <v>20</v>
      </c>
      <c r="K53" s="20" t="s">
        <v>239</v>
      </c>
      <c r="L53" s="23" t="str">
        <f>HYPERLINK("http://slimages.macys.com/is/image/MCY/9279789 ")</f>
        <v xml:space="preserve">http://slimages.macys.com/is/image/MCY/9279789 </v>
      </c>
    </row>
    <row r="54" spans="1:12" ht="39.950000000000003" customHeight="1" x14ac:dyDescent="0.25">
      <c r="A54" s="19" t="s">
        <v>240</v>
      </c>
      <c r="B54" s="20" t="s">
        <v>241</v>
      </c>
      <c r="C54" s="21">
        <v>1</v>
      </c>
      <c r="D54" s="22">
        <v>19</v>
      </c>
      <c r="E54" s="21" t="s">
        <v>242</v>
      </c>
      <c r="F54" s="20" t="s">
        <v>16</v>
      </c>
      <c r="G54" s="19" t="s">
        <v>243</v>
      </c>
      <c r="H54" s="20" t="s">
        <v>85</v>
      </c>
      <c r="I54" s="20" t="s">
        <v>244</v>
      </c>
      <c r="J54" s="20"/>
      <c r="K54" s="20" t="s">
        <v>197</v>
      </c>
      <c r="L54" s="23" t="str">
        <f>HYPERLINK("http://slimages.macys.com/is/image/MCY/1921338 ")</f>
        <v xml:space="preserve">http://slimages.macys.com/is/image/MCY/1921338 </v>
      </c>
    </row>
    <row r="55" spans="1:12" ht="39.950000000000003" customHeight="1" x14ac:dyDescent="0.25">
      <c r="A55" s="19" t="s">
        <v>245</v>
      </c>
      <c r="B55" s="20" t="s">
        <v>246</v>
      </c>
      <c r="C55" s="21">
        <v>3</v>
      </c>
      <c r="D55" s="22">
        <v>74.97</v>
      </c>
      <c r="E55" s="21" t="s">
        <v>247</v>
      </c>
      <c r="F55" s="20" t="s">
        <v>16</v>
      </c>
      <c r="G55" s="19" t="s">
        <v>17</v>
      </c>
      <c r="H55" s="20" t="s">
        <v>119</v>
      </c>
      <c r="I55" s="20" t="s">
        <v>152</v>
      </c>
      <c r="J55" s="20" t="s">
        <v>20</v>
      </c>
      <c r="K55" s="20" t="s">
        <v>67</v>
      </c>
      <c r="L55" s="23" t="str">
        <f>HYPERLINK("http://slimages.macys.com/is/image/MCY/11688831 ")</f>
        <v xml:space="preserve">http://slimages.macys.com/is/image/MCY/11688831 </v>
      </c>
    </row>
    <row r="56" spans="1:12" ht="39.950000000000003" customHeight="1" x14ac:dyDescent="0.25">
      <c r="A56" s="19" t="s">
        <v>248</v>
      </c>
      <c r="B56" s="20" t="s">
        <v>249</v>
      </c>
      <c r="C56" s="21">
        <v>1</v>
      </c>
      <c r="D56" s="22">
        <v>19.989999999999998</v>
      </c>
      <c r="E56" s="21" t="s">
        <v>250</v>
      </c>
      <c r="F56" s="20" t="s">
        <v>16</v>
      </c>
      <c r="G56" s="19" t="s">
        <v>251</v>
      </c>
      <c r="H56" s="20" t="s">
        <v>48</v>
      </c>
      <c r="I56" s="20" t="s">
        <v>103</v>
      </c>
      <c r="J56" s="20" t="s">
        <v>20</v>
      </c>
      <c r="K56" s="20" t="s">
        <v>27</v>
      </c>
      <c r="L56" s="23" t="str">
        <f>HYPERLINK("http://slimages.macys.com/is/image/MCY/2517069 ")</f>
        <v xml:space="preserve">http://slimages.macys.com/is/image/MCY/2517069 </v>
      </c>
    </row>
    <row r="57" spans="1:12" ht="39.950000000000003" customHeight="1" x14ac:dyDescent="0.25">
      <c r="A57" s="19" t="s">
        <v>252</v>
      </c>
      <c r="B57" s="20" t="s">
        <v>253</v>
      </c>
      <c r="C57" s="21">
        <v>2</v>
      </c>
      <c r="D57" s="22">
        <v>43.98</v>
      </c>
      <c r="E57" s="21">
        <v>10008457600</v>
      </c>
      <c r="F57" s="20" t="s">
        <v>16</v>
      </c>
      <c r="G57" s="19" t="s">
        <v>17</v>
      </c>
      <c r="H57" s="20" t="s">
        <v>18</v>
      </c>
      <c r="I57" s="20" t="s">
        <v>254</v>
      </c>
      <c r="J57" s="20" t="s">
        <v>20</v>
      </c>
      <c r="K57" s="20" t="s">
        <v>21</v>
      </c>
      <c r="L57" s="23" t="str">
        <f>HYPERLINK("http://slimages.macys.com/is/image/MCY/15936968 ")</f>
        <v xml:space="preserve">http://slimages.macys.com/is/image/MCY/15936968 </v>
      </c>
    </row>
    <row r="58" spans="1:12" ht="39.950000000000003" customHeight="1" x14ac:dyDescent="0.25">
      <c r="A58" s="19" t="s">
        <v>255</v>
      </c>
      <c r="B58" s="20" t="s">
        <v>256</v>
      </c>
      <c r="C58" s="21">
        <v>2</v>
      </c>
      <c r="D58" s="22">
        <v>39.979999999999997</v>
      </c>
      <c r="E58" s="21" t="s">
        <v>257</v>
      </c>
      <c r="F58" s="20" t="s">
        <v>16</v>
      </c>
      <c r="G58" s="19" t="s">
        <v>258</v>
      </c>
      <c r="H58" s="20" t="s">
        <v>72</v>
      </c>
      <c r="I58" s="20" t="s">
        <v>73</v>
      </c>
      <c r="J58" s="20"/>
      <c r="K58" s="20" t="s">
        <v>259</v>
      </c>
      <c r="L58" s="23" t="str">
        <f>HYPERLINK("http://slimages.macys.com/is/image/MCY/873763 ")</f>
        <v xml:space="preserve">http://slimages.macys.com/is/image/MCY/873763 </v>
      </c>
    </row>
    <row r="59" spans="1:12" ht="39.950000000000003" customHeight="1" x14ac:dyDescent="0.25">
      <c r="A59" s="19" t="s">
        <v>260</v>
      </c>
      <c r="B59" s="20" t="s">
        <v>261</v>
      </c>
      <c r="C59" s="21">
        <v>2</v>
      </c>
      <c r="D59" s="22">
        <v>39.979999999999997</v>
      </c>
      <c r="E59" s="21">
        <v>10008456000</v>
      </c>
      <c r="F59" s="20" t="s">
        <v>16</v>
      </c>
      <c r="G59" s="19" t="s">
        <v>17</v>
      </c>
      <c r="H59" s="20" t="s">
        <v>18</v>
      </c>
      <c r="I59" s="20" t="s">
        <v>19</v>
      </c>
      <c r="J59" s="20" t="s">
        <v>20</v>
      </c>
      <c r="K59" s="20" t="s">
        <v>21</v>
      </c>
      <c r="L59" s="23" t="str">
        <f>HYPERLINK("http://slimages.macys.com/is/image/MCY/15769639 ")</f>
        <v xml:space="preserve">http://slimages.macys.com/is/image/MCY/15769639 </v>
      </c>
    </row>
    <row r="60" spans="1:12" ht="39.950000000000003" customHeight="1" x14ac:dyDescent="0.25">
      <c r="A60" s="19" t="s">
        <v>262</v>
      </c>
      <c r="B60" s="20" t="s">
        <v>263</v>
      </c>
      <c r="C60" s="21">
        <v>8</v>
      </c>
      <c r="D60" s="22">
        <v>119.92</v>
      </c>
      <c r="E60" s="21">
        <v>12470</v>
      </c>
      <c r="F60" s="20" t="s">
        <v>16</v>
      </c>
      <c r="G60" s="19" t="s">
        <v>17</v>
      </c>
      <c r="H60" s="20" t="s">
        <v>48</v>
      </c>
      <c r="I60" s="20" t="s">
        <v>264</v>
      </c>
      <c r="J60" s="20" t="s">
        <v>20</v>
      </c>
      <c r="K60" s="20" t="s">
        <v>265</v>
      </c>
      <c r="L60" s="23" t="str">
        <f>HYPERLINK("http://slimages.macys.com/is/image/MCY/13802545 ")</f>
        <v xml:space="preserve">http://slimages.macys.com/is/image/MCY/13802545 </v>
      </c>
    </row>
    <row r="61" spans="1:12" ht="39.950000000000003" customHeight="1" x14ac:dyDescent="0.25">
      <c r="A61" s="19" t="s">
        <v>266</v>
      </c>
      <c r="B61" s="20" t="s">
        <v>267</v>
      </c>
      <c r="C61" s="21">
        <v>6</v>
      </c>
      <c r="D61" s="22">
        <v>90</v>
      </c>
      <c r="E61" s="21" t="s">
        <v>268</v>
      </c>
      <c r="F61" s="20" t="s">
        <v>89</v>
      </c>
      <c r="G61" s="19" t="s">
        <v>269</v>
      </c>
      <c r="H61" s="20" t="s">
        <v>65</v>
      </c>
      <c r="I61" s="20" t="s">
        <v>270</v>
      </c>
      <c r="J61" s="20" t="s">
        <v>20</v>
      </c>
      <c r="K61" s="20" t="s">
        <v>21</v>
      </c>
      <c r="L61" s="23" t="str">
        <f>HYPERLINK("http://slimages.macys.com/is/image/MCY/9972892 ")</f>
        <v xml:space="preserve">http://slimages.macys.com/is/image/MCY/9972892 </v>
      </c>
    </row>
    <row r="62" spans="1:12" ht="39.950000000000003" customHeight="1" x14ac:dyDescent="0.25">
      <c r="A62" s="19" t="s">
        <v>271</v>
      </c>
      <c r="B62" s="20" t="s">
        <v>272</v>
      </c>
      <c r="C62" s="21">
        <v>2</v>
      </c>
      <c r="D62" s="22">
        <v>35.979999999999997</v>
      </c>
      <c r="E62" s="21" t="s">
        <v>273</v>
      </c>
      <c r="F62" s="20" t="s">
        <v>274</v>
      </c>
      <c r="G62" s="19" t="s">
        <v>17</v>
      </c>
      <c r="H62" s="20" t="s">
        <v>32</v>
      </c>
      <c r="I62" s="20" t="s">
        <v>33</v>
      </c>
      <c r="J62" s="20" t="s">
        <v>20</v>
      </c>
      <c r="K62" s="20" t="s">
        <v>275</v>
      </c>
      <c r="L62" s="23" t="str">
        <f>HYPERLINK("http://slimages.macys.com/is/image/MCY/14464116 ")</f>
        <v xml:space="preserve">http://slimages.macys.com/is/image/MCY/14464116 </v>
      </c>
    </row>
    <row r="63" spans="1:12" ht="39.950000000000003" customHeight="1" x14ac:dyDescent="0.25">
      <c r="A63" s="19" t="s">
        <v>276</v>
      </c>
      <c r="B63" s="20" t="s">
        <v>277</v>
      </c>
      <c r="C63" s="21">
        <v>5</v>
      </c>
      <c r="D63" s="22">
        <v>75</v>
      </c>
      <c r="E63" s="21" t="s">
        <v>278</v>
      </c>
      <c r="F63" s="20" t="s">
        <v>89</v>
      </c>
      <c r="G63" s="19" t="s">
        <v>269</v>
      </c>
      <c r="H63" s="20" t="s">
        <v>65</v>
      </c>
      <c r="I63" s="20" t="s">
        <v>270</v>
      </c>
      <c r="J63" s="20" t="s">
        <v>20</v>
      </c>
      <c r="K63" s="20" t="s">
        <v>21</v>
      </c>
      <c r="L63" s="23" t="str">
        <f>HYPERLINK("http://slimages.macys.com/is/image/MCY/9972972 ")</f>
        <v xml:space="preserve">http://slimages.macys.com/is/image/MCY/9972972 </v>
      </c>
    </row>
    <row r="64" spans="1:12" ht="39.950000000000003" customHeight="1" x14ac:dyDescent="0.25">
      <c r="A64" s="19" t="s">
        <v>279</v>
      </c>
      <c r="B64" s="20" t="s">
        <v>280</v>
      </c>
      <c r="C64" s="21">
        <v>3</v>
      </c>
      <c r="D64" s="22">
        <v>56.97</v>
      </c>
      <c r="E64" s="21">
        <v>80461</v>
      </c>
      <c r="F64" s="20" t="s">
        <v>16</v>
      </c>
      <c r="G64" s="19" t="s">
        <v>17</v>
      </c>
      <c r="H64" s="20" t="s">
        <v>79</v>
      </c>
      <c r="I64" s="20" t="s">
        <v>281</v>
      </c>
      <c r="J64" s="20" t="s">
        <v>20</v>
      </c>
      <c r="K64" s="20" t="s">
        <v>282</v>
      </c>
      <c r="L64" s="23" t="str">
        <f>HYPERLINK("http://slimages.macys.com/is/image/MCY/10655837 ")</f>
        <v xml:space="preserve">http://slimages.macys.com/is/image/MCY/10655837 </v>
      </c>
    </row>
    <row r="65" spans="1:12" ht="39.950000000000003" customHeight="1" x14ac:dyDescent="0.25">
      <c r="A65" s="19" t="s">
        <v>283</v>
      </c>
      <c r="B65" s="20" t="s">
        <v>284</v>
      </c>
      <c r="C65" s="21">
        <v>1</v>
      </c>
      <c r="D65" s="22">
        <v>15.99</v>
      </c>
      <c r="E65" s="21" t="s">
        <v>285</v>
      </c>
      <c r="F65" s="20" t="s">
        <v>274</v>
      </c>
      <c r="G65" s="19" t="s">
        <v>17</v>
      </c>
      <c r="H65" s="20" t="s">
        <v>32</v>
      </c>
      <c r="I65" s="20" t="s">
        <v>33</v>
      </c>
      <c r="J65" s="20" t="s">
        <v>20</v>
      </c>
      <c r="K65" s="20" t="s">
        <v>275</v>
      </c>
      <c r="L65" s="23" t="str">
        <f>HYPERLINK("http://slimages.macys.com/is/image/MCY/14464112 ")</f>
        <v xml:space="preserve">http://slimages.macys.com/is/image/MCY/14464112 </v>
      </c>
    </row>
    <row r="66" spans="1:12" ht="39.950000000000003" customHeight="1" x14ac:dyDescent="0.25">
      <c r="A66" s="19" t="s">
        <v>286</v>
      </c>
      <c r="B66" s="20" t="s">
        <v>287</v>
      </c>
      <c r="C66" s="21">
        <v>2</v>
      </c>
      <c r="D66" s="22">
        <v>29.98</v>
      </c>
      <c r="E66" s="21" t="s">
        <v>288</v>
      </c>
      <c r="F66" s="20" t="s">
        <v>289</v>
      </c>
      <c r="G66" s="19"/>
      <c r="H66" s="20" t="s">
        <v>48</v>
      </c>
      <c r="I66" s="20" t="s">
        <v>207</v>
      </c>
      <c r="J66" s="20" t="s">
        <v>20</v>
      </c>
      <c r="K66" s="20" t="s">
        <v>208</v>
      </c>
      <c r="L66" s="23" t="str">
        <f>HYPERLINK("http://slimages.macys.com/is/image/MCY/13983197 ")</f>
        <v xml:space="preserve">http://slimages.macys.com/is/image/MCY/13983197 </v>
      </c>
    </row>
    <row r="67" spans="1:12" ht="39.950000000000003" customHeight="1" x14ac:dyDescent="0.25">
      <c r="A67" s="19" t="s">
        <v>290</v>
      </c>
      <c r="B67" s="20" t="s">
        <v>291</v>
      </c>
      <c r="C67" s="21">
        <v>1</v>
      </c>
      <c r="D67" s="22">
        <v>19.989999999999998</v>
      </c>
      <c r="E67" s="21">
        <v>10006886000</v>
      </c>
      <c r="F67" s="20" t="s">
        <v>16</v>
      </c>
      <c r="G67" s="19" t="s">
        <v>17</v>
      </c>
      <c r="H67" s="20" t="s">
        <v>18</v>
      </c>
      <c r="I67" s="20" t="s">
        <v>292</v>
      </c>
      <c r="J67" s="20" t="s">
        <v>20</v>
      </c>
      <c r="K67" s="20" t="s">
        <v>21</v>
      </c>
      <c r="L67" s="23" t="str">
        <f>HYPERLINK("http://slimages.macys.com/is/image/MCY/13511026 ")</f>
        <v xml:space="preserve">http://slimages.macys.com/is/image/MCY/13511026 </v>
      </c>
    </row>
    <row r="68" spans="1:12" ht="39.950000000000003" customHeight="1" x14ac:dyDescent="0.25">
      <c r="A68" s="19" t="s">
        <v>293</v>
      </c>
      <c r="B68" s="20" t="s">
        <v>294</v>
      </c>
      <c r="C68" s="21">
        <v>2</v>
      </c>
      <c r="D68" s="22">
        <v>33.979999999999997</v>
      </c>
      <c r="E68" s="21">
        <v>10006772800</v>
      </c>
      <c r="F68" s="20" t="s">
        <v>16</v>
      </c>
      <c r="G68" s="19" t="s">
        <v>17</v>
      </c>
      <c r="H68" s="20" t="s">
        <v>18</v>
      </c>
      <c r="I68" s="20" t="s">
        <v>295</v>
      </c>
      <c r="J68" s="20" t="s">
        <v>20</v>
      </c>
      <c r="K68" s="20" t="s">
        <v>296</v>
      </c>
      <c r="L68" s="23" t="str">
        <f>HYPERLINK("http://slimages.macys.com/is/image/MCY/13319103 ")</f>
        <v xml:space="preserve">http://slimages.macys.com/is/image/MCY/13319103 </v>
      </c>
    </row>
    <row r="69" spans="1:12" ht="39.950000000000003" customHeight="1" x14ac:dyDescent="0.25">
      <c r="A69" s="19" t="s">
        <v>297</v>
      </c>
      <c r="B69" s="20" t="s">
        <v>298</v>
      </c>
      <c r="C69" s="21">
        <v>2</v>
      </c>
      <c r="D69" s="22">
        <v>25.98</v>
      </c>
      <c r="E69" s="21">
        <v>11398401</v>
      </c>
      <c r="F69" s="20" t="s">
        <v>16</v>
      </c>
      <c r="G69" s="19" t="s">
        <v>17</v>
      </c>
      <c r="H69" s="20" t="s">
        <v>108</v>
      </c>
      <c r="I69" s="20" t="s">
        <v>299</v>
      </c>
      <c r="J69" s="20" t="s">
        <v>20</v>
      </c>
      <c r="K69" s="20" t="s">
        <v>98</v>
      </c>
      <c r="L69" s="23" t="str">
        <f>HYPERLINK("http://slimages.macys.com/is/image/MCY/12354498 ")</f>
        <v xml:space="preserve">http://slimages.macys.com/is/image/MCY/12354498 </v>
      </c>
    </row>
    <row r="70" spans="1:12" ht="39.950000000000003" customHeight="1" x14ac:dyDescent="0.25">
      <c r="A70" s="19" t="s">
        <v>300</v>
      </c>
      <c r="B70" s="20" t="s">
        <v>301</v>
      </c>
      <c r="C70" s="21">
        <v>2</v>
      </c>
      <c r="D70" s="22">
        <v>29.98</v>
      </c>
      <c r="E70" s="21" t="s">
        <v>302</v>
      </c>
      <c r="F70" s="20" t="s">
        <v>16</v>
      </c>
      <c r="G70" s="19" t="s">
        <v>17</v>
      </c>
      <c r="H70" s="20" t="s">
        <v>48</v>
      </c>
      <c r="I70" s="20" t="s">
        <v>303</v>
      </c>
      <c r="J70" s="20" t="s">
        <v>110</v>
      </c>
      <c r="K70" s="20" t="s">
        <v>173</v>
      </c>
      <c r="L70" s="23" t="str">
        <f>HYPERLINK("http://slimages.macys.com/is/image/MCY/8777724 ")</f>
        <v xml:space="preserve">http://slimages.macys.com/is/image/MCY/8777724 </v>
      </c>
    </row>
    <row r="71" spans="1:12" ht="39.950000000000003" customHeight="1" x14ac:dyDescent="0.25">
      <c r="A71" s="19" t="s">
        <v>304</v>
      </c>
      <c r="B71" s="20" t="s">
        <v>305</v>
      </c>
      <c r="C71" s="21">
        <v>3</v>
      </c>
      <c r="D71" s="22">
        <v>35.97</v>
      </c>
      <c r="E71" s="21">
        <v>465340</v>
      </c>
      <c r="F71" s="20" t="s">
        <v>78</v>
      </c>
      <c r="G71" s="19" t="s">
        <v>96</v>
      </c>
      <c r="H71" s="20" t="s">
        <v>108</v>
      </c>
      <c r="I71" s="20" t="s">
        <v>109</v>
      </c>
      <c r="J71" s="20"/>
      <c r="K71" s="20" t="s">
        <v>111</v>
      </c>
      <c r="L71" s="23" t="str">
        <f>HYPERLINK("http://slimages.macys.com/is/image/MCY/2961345 ")</f>
        <v xml:space="preserve">http://slimages.macys.com/is/image/MCY/2961345 </v>
      </c>
    </row>
    <row r="72" spans="1:12" ht="39.950000000000003" customHeight="1" x14ac:dyDescent="0.25">
      <c r="A72" s="19" t="s">
        <v>306</v>
      </c>
      <c r="B72" s="20" t="s">
        <v>307</v>
      </c>
      <c r="C72" s="21">
        <v>1</v>
      </c>
      <c r="D72" s="22">
        <v>32.99</v>
      </c>
      <c r="E72" s="21">
        <v>283025</v>
      </c>
      <c r="F72" s="20" t="s">
        <v>16</v>
      </c>
      <c r="G72" s="19" t="s">
        <v>17</v>
      </c>
      <c r="H72" s="20" t="s">
        <v>56</v>
      </c>
      <c r="I72" s="20" t="s">
        <v>308</v>
      </c>
      <c r="J72" s="20" t="s">
        <v>20</v>
      </c>
      <c r="K72" s="20" t="s">
        <v>58</v>
      </c>
      <c r="L72" s="23" t="str">
        <f>HYPERLINK("http://slimages.macys.com/is/image/MCY/2577495 ")</f>
        <v xml:space="preserve">http://slimages.macys.com/is/image/MCY/2577495 </v>
      </c>
    </row>
    <row r="73" spans="1:12" ht="39.950000000000003" customHeight="1" x14ac:dyDescent="0.25">
      <c r="A73" s="19" t="s">
        <v>309</v>
      </c>
      <c r="B73" s="20" t="s">
        <v>310</v>
      </c>
      <c r="C73" s="21">
        <v>1</v>
      </c>
      <c r="D73" s="22">
        <v>9.99</v>
      </c>
      <c r="E73" s="21" t="s">
        <v>311</v>
      </c>
      <c r="F73" s="20"/>
      <c r="G73" s="19" t="s">
        <v>312</v>
      </c>
      <c r="H73" s="20" t="s">
        <v>108</v>
      </c>
      <c r="I73" s="20" t="s">
        <v>313</v>
      </c>
      <c r="J73" s="20" t="s">
        <v>20</v>
      </c>
      <c r="K73" s="20" t="s">
        <v>92</v>
      </c>
      <c r="L73" s="23" t="str">
        <f>HYPERLINK("http://slimages.macys.com/is/image/MCY/9745998 ")</f>
        <v xml:space="preserve">http://slimages.macys.com/is/image/MCY/9745998 </v>
      </c>
    </row>
    <row r="74" spans="1:12" ht="39.950000000000003" customHeight="1" x14ac:dyDescent="0.25">
      <c r="A74" s="19" t="s">
        <v>314</v>
      </c>
      <c r="B74" s="20" t="s">
        <v>315</v>
      </c>
      <c r="C74" s="21">
        <v>1</v>
      </c>
      <c r="D74" s="22">
        <v>9.99</v>
      </c>
      <c r="E74" s="21">
        <v>12289</v>
      </c>
      <c r="F74" s="20" t="s">
        <v>16</v>
      </c>
      <c r="G74" s="19" t="s">
        <v>17</v>
      </c>
      <c r="H74" s="20" t="s">
        <v>48</v>
      </c>
      <c r="I74" s="20" t="s">
        <v>264</v>
      </c>
      <c r="J74" s="20" t="s">
        <v>20</v>
      </c>
      <c r="K74" s="20" t="s">
        <v>67</v>
      </c>
      <c r="L74" s="23" t="str">
        <f>HYPERLINK("http://slimages.macys.com/is/image/MCY/13802488 ")</f>
        <v xml:space="preserve">http://slimages.macys.com/is/image/MCY/13802488 </v>
      </c>
    </row>
    <row r="75" spans="1:12" ht="39.950000000000003" customHeight="1" x14ac:dyDescent="0.25">
      <c r="A75" s="19" t="s">
        <v>316</v>
      </c>
      <c r="B75" s="20" t="s">
        <v>317</v>
      </c>
      <c r="C75" s="21">
        <v>4</v>
      </c>
      <c r="D75" s="22">
        <v>39.96</v>
      </c>
      <c r="E75" s="21" t="s">
        <v>318</v>
      </c>
      <c r="F75" s="20" t="s">
        <v>131</v>
      </c>
      <c r="G75" s="19" t="s">
        <v>17</v>
      </c>
      <c r="H75" s="20" t="s">
        <v>32</v>
      </c>
      <c r="I75" s="20" t="s">
        <v>33</v>
      </c>
      <c r="J75" s="20" t="s">
        <v>20</v>
      </c>
      <c r="K75" s="20" t="s">
        <v>319</v>
      </c>
      <c r="L75" s="23" t="str">
        <f>HYPERLINK("http://slimages.macys.com/is/image/MCY/14464091 ")</f>
        <v xml:space="preserve">http://slimages.macys.com/is/image/MCY/14464091 </v>
      </c>
    </row>
    <row r="76" spans="1:12" ht="39.950000000000003" customHeight="1" x14ac:dyDescent="0.25">
      <c r="A76" s="19" t="s">
        <v>320</v>
      </c>
      <c r="B76" s="20" t="s">
        <v>321</v>
      </c>
      <c r="C76" s="21">
        <v>7</v>
      </c>
      <c r="D76" s="22">
        <v>69.930000000000007</v>
      </c>
      <c r="E76" s="21">
        <v>12261</v>
      </c>
      <c r="F76" s="20" t="s">
        <v>16</v>
      </c>
      <c r="G76" s="19" t="s">
        <v>17</v>
      </c>
      <c r="H76" s="20" t="s">
        <v>48</v>
      </c>
      <c r="I76" s="20" t="s">
        <v>264</v>
      </c>
      <c r="J76" s="20" t="s">
        <v>20</v>
      </c>
      <c r="K76" s="20" t="s">
        <v>67</v>
      </c>
      <c r="L76" s="23" t="str">
        <f>HYPERLINK("http://slimages.macys.com/is/image/MCY/13802490 ")</f>
        <v xml:space="preserve">http://slimages.macys.com/is/image/MCY/13802490 </v>
      </c>
    </row>
    <row r="77" spans="1:12" ht="39.950000000000003" customHeight="1" x14ac:dyDescent="0.25">
      <c r="A77" s="19" t="s">
        <v>322</v>
      </c>
      <c r="B77" s="20" t="s">
        <v>323</v>
      </c>
      <c r="C77" s="21">
        <v>7</v>
      </c>
      <c r="D77" s="22">
        <v>83.93</v>
      </c>
      <c r="E77" s="21">
        <v>10008457500</v>
      </c>
      <c r="F77" s="20" t="s">
        <v>16</v>
      </c>
      <c r="G77" s="19" t="s">
        <v>17</v>
      </c>
      <c r="H77" s="20" t="s">
        <v>18</v>
      </c>
      <c r="I77" s="20" t="s">
        <v>19</v>
      </c>
      <c r="J77" s="20" t="s">
        <v>20</v>
      </c>
      <c r="K77" s="20" t="s">
        <v>21</v>
      </c>
      <c r="L77" s="23" t="str">
        <f>HYPERLINK("http://slimages.macys.com/is/image/MCY/15768377 ")</f>
        <v xml:space="preserve">http://slimages.macys.com/is/image/MCY/15768377 </v>
      </c>
    </row>
    <row r="78" spans="1:12" ht="39.950000000000003" customHeight="1" x14ac:dyDescent="0.25">
      <c r="A78" s="19" t="s">
        <v>324</v>
      </c>
      <c r="B78" s="20" t="s">
        <v>325</v>
      </c>
      <c r="C78" s="21">
        <v>9</v>
      </c>
      <c r="D78" s="22">
        <v>89.91</v>
      </c>
      <c r="E78" s="21">
        <v>12292</v>
      </c>
      <c r="F78" s="20" t="s">
        <v>16</v>
      </c>
      <c r="G78" s="19" t="s">
        <v>17</v>
      </c>
      <c r="H78" s="20" t="s">
        <v>48</v>
      </c>
      <c r="I78" s="20" t="s">
        <v>264</v>
      </c>
      <c r="J78" s="20" t="s">
        <v>20</v>
      </c>
      <c r="K78" s="20" t="s">
        <v>67</v>
      </c>
      <c r="L78" s="23" t="str">
        <f>HYPERLINK("http://slimages.macys.com/is/image/MCY/13802486 ")</f>
        <v xml:space="preserve">http://slimages.macys.com/is/image/MCY/13802486 </v>
      </c>
    </row>
    <row r="79" spans="1:12" ht="39.950000000000003" customHeight="1" x14ac:dyDescent="0.25">
      <c r="A79" s="19" t="s">
        <v>326</v>
      </c>
      <c r="B79" s="20" t="s">
        <v>327</v>
      </c>
      <c r="C79" s="21">
        <v>2</v>
      </c>
      <c r="D79" s="22">
        <v>19.98</v>
      </c>
      <c r="E79" s="21">
        <v>10005033000</v>
      </c>
      <c r="F79" s="20" t="s">
        <v>16</v>
      </c>
      <c r="G79" s="19" t="s">
        <v>17</v>
      </c>
      <c r="H79" s="20" t="s">
        <v>328</v>
      </c>
      <c r="I79" s="20" t="s">
        <v>329</v>
      </c>
      <c r="J79" s="20" t="s">
        <v>20</v>
      </c>
      <c r="K79" s="20" t="s">
        <v>330</v>
      </c>
      <c r="L79" s="23" t="str">
        <f>HYPERLINK("http://slimages.macys.com/is/image/MCY/11499957 ")</f>
        <v xml:space="preserve">http://slimages.macys.com/is/image/MCY/11499957 </v>
      </c>
    </row>
    <row r="80" spans="1:12" ht="39.950000000000003" customHeight="1" x14ac:dyDescent="0.25">
      <c r="A80" s="19" t="s">
        <v>331</v>
      </c>
      <c r="B80" s="20" t="s">
        <v>332</v>
      </c>
      <c r="C80" s="21">
        <v>1</v>
      </c>
      <c r="D80" s="22">
        <v>9.99</v>
      </c>
      <c r="E80" s="21">
        <v>10005032900</v>
      </c>
      <c r="F80" s="20" t="s">
        <v>16</v>
      </c>
      <c r="G80" s="19" t="s">
        <v>17</v>
      </c>
      <c r="H80" s="20" t="s">
        <v>328</v>
      </c>
      <c r="I80" s="20" t="s">
        <v>329</v>
      </c>
      <c r="J80" s="20" t="s">
        <v>20</v>
      </c>
      <c r="K80" s="20" t="s">
        <v>330</v>
      </c>
      <c r="L80" s="23" t="str">
        <f>HYPERLINK("http://slimages.macys.com/is/image/MCY/11499958 ")</f>
        <v xml:space="preserve">http://slimages.macys.com/is/image/MCY/11499958 </v>
      </c>
    </row>
    <row r="81" spans="1:12" ht="39.950000000000003" customHeight="1" x14ac:dyDescent="0.25">
      <c r="A81" s="19" t="s">
        <v>333</v>
      </c>
      <c r="B81" s="20" t="s">
        <v>334</v>
      </c>
      <c r="C81" s="21">
        <v>2</v>
      </c>
      <c r="D81" s="22">
        <v>19.98</v>
      </c>
      <c r="E81" s="21">
        <v>10005033100</v>
      </c>
      <c r="F81" s="20" t="s">
        <v>16</v>
      </c>
      <c r="G81" s="19" t="s">
        <v>17</v>
      </c>
      <c r="H81" s="20" t="s">
        <v>328</v>
      </c>
      <c r="I81" s="20" t="s">
        <v>329</v>
      </c>
      <c r="J81" s="20" t="s">
        <v>20</v>
      </c>
      <c r="K81" s="20" t="s">
        <v>330</v>
      </c>
      <c r="L81" s="23" t="str">
        <f>HYPERLINK("http://slimages.macys.com/is/image/MCY/11499955 ")</f>
        <v xml:space="preserve">http://slimages.macys.com/is/image/MCY/11499955 </v>
      </c>
    </row>
    <row r="82" spans="1:12" ht="39.950000000000003" customHeight="1" x14ac:dyDescent="0.25">
      <c r="A82" s="19" t="s">
        <v>335</v>
      </c>
      <c r="B82" s="20" t="s">
        <v>336</v>
      </c>
      <c r="C82" s="21">
        <v>1</v>
      </c>
      <c r="D82" s="22">
        <v>9.99</v>
      </c>
      <c r="E82" s="21" t="s">
        <v>337</v>
      </c>
      <c r="F82" s="20" t="s">
        <v>16</v>
      </c>
      <c r="G82" s="19" t="s">
        <v>17</v>
      </c>
      <c r="H82" s="20" t="s">
        <v>48</v>
      </c>
      <c r="I82" s="20" t="s">
        <v>264</v>
      </c>
      <c r="J82" s="20" t="s">
        <v>20</v>
      </c>
      <c r="K82" s="20" t="s">
        <v>67</v>
      </c>
      <c r="L82" s="23" t="str">
        <f>HYPERLINK("http://slimages.macys.com/is/image/MCY/9055521 ")</f>
        <v xml:space="preserve">http://slimages.macys.com/is/image/MCY/9055521 </v>
      </c>
    </row>
    <row r="83" spans="1:12" ht="39.950000000000003" customHeight="1" x14ac:dyDescent="0.25">
      <c r="A83" s="19" t="s">
        <v>338</v>
      </c>
      <c r="B83" s="20" t="s">
        <v>339</v>
      </c>
      <c r="C83" s="21">
        <v>1</v>
      </c>
      <c r="D83" s="22">
        <v>12.99</v>
      </c>
      <c r="E83" s="21" t="s">
        <v>340</v>
      </c>
      <c r="F83" s="20" t="s">
        <v>16</v>
      </c>
      <c r="G83" s="19" t="s">
        <v>17</v>
      </c>
      <c r="H83" s="20" t="s">
        <v>328</v>
      </c>
      <c r="I83" s="20" t="s">
        <v>329</v>
      </c>
      <c r="J83" s="20" t="s">
        <v>20</v>
      </c>
      <c r="K83" s="20" t="s">
        <v>341</v>
      </c>
      <c r="L83" s="23" t="str">
        <f>HYPERLINK("http://slimages.macys.com/is/image/MCY/9371851 ")</f>
        <v xml:space="preserve">http://slimages.macys.com/is/image/MCY/9371851 </v>
      </c>
    </row>
    <row r="84" spans="1:12" ht="39.950000000000003" customHeight="1" x14ac:dyDescent="0.25">
      <c r="A84" s="19" t="s">
        <v>342</v>
      </c>
      <c r="B84" s="20" t="s">
        <v>343</v>
      </c>
      <c r="C84" s="21">
        <v>16</v>
      </c>
      <c r="D84" s="22">
        <v>111.84</v>
      </c>
      <c r="E84" s="21" t="s">
        <v>344</v>
      </c>
      <c r="F84" s="20" t="s">
        <v>16</v>
      </c>
      <c r="G84" s="19" t="s">
        <v>17</v>
      </c>
      <c r="H84" s="20" t="s">
        <v>48</v>
      </c>
      <c r="I84" s="20" t="s">
        <v>264</v>
      </c>
      <c r="J84" s="20" t="s">
        <v>20</v>
      </c>
      <c r="K84" s="20" t="s">
        <v>345</v>
      </c>
      <c r="L84" s="23" t="str">
        <f>HYPERLINK("http://slimages.macys.com/is/image/MCY/11831198 ")</f>
        <v xml:space="preserve">http://slimages.macys.com/is/image/MCY/11831198 </v>
      </c>
    </row>
    <row r="85" spans="1:12" ht="39.950000000000003" customHeight="1" x14ac:dyDescent="0.25">
      <c r="A85" s="19" t="s">
        <v>346</v>
      </c>
      <c r="B85" s="20" t="s">
        <v>347</v>
      </c>
      <c r="C85" s="21">
        <v>1</v>
      </c>
      <c r="D85" s="22">
        <v>8.9</v>
      </c>
      <c r="E85" s="21" t="s">
        <v>348</v>
      </c>
      <c r="F85" s="20" t="s">
        <v>349</v>
      </c>
      <c r="G85" s="19" t="s">
        <v>17</v>
      </c>
      <c r="H85" s="20" t="s">
        <v>32</v>
      </c>
      <c r="I85" s="20" t="s">
        <v>33</v>
      </c>
      <c r="J85" s="20" t="s">
        <v>132</v>
      </c>
      <c r="K85" s="20" t="s">
        <v>350</v>
      </c>
      <c r="L85" s="23" t="str">
        <f>HYPERLINK("http://slimages.macys.com/is/image/MCY/13362291 ")</f>
        <v xml:space="preserve">http://slimages.macys.com/is/image/MCY/13362291 </v>
      </c>
    </row>
    <row r="86" spans="1:12" ht="39.950000000000003" customHeight="1" x14ac:dyDescent="0.25">
      <c r="A86" s="19" t="s">
        <v>351</v>
      </c>
      <c r="B86" s="20" t="s">
        <v>352</v>
      </c>
      <c r="C86" s="21">
        <v>6</v>
      </c>
      <c r="D86" s="22">
        <v>59.94</v>
      </c>
      <c r="E86" s="21" t="s">
        <v>353</v>
      </c>
      <c r="F86" s="20" t="s">
        <v>16</v>
      </c>
      <c r="G86" s="19" t="s">
        <v>17</v>
      </c>
      <c r="H86" s="20" t="s">
        <v>328</v>
      </c>
      <c r="I86" s="20" t="s">
        <v>329</v>
      </c>
      <c r="J86" s="20" t="s">
        <v>20</v>
      </c>
      <c r="K86" s="20" t="s">
        <v>330</v>
      </c>
      <c r="L86" s="23" t="str">
        <f>HYPERLINK("http://slimages.macys.com/is/image/MCY/9375967 ")</f>
        <v xml:space="preserve">http://slimages.macys.com/is/image/MCY/9375967 </v>
      </c>
    </row>
    <row r="87" spans="1:12" ht="39.950000000000003" customHeight="1" x14ac:dyDescent="0.25">
      <c r="A87" s="19" t="s">
        <v>354</v>
      </c>
      <c r="B87" s="20" t="s">
        <v>355</v>
      </c>
      <c r="C87" s="21">
        <v>1</v>
      </c>
      <c r="D87" s="22">
        <v>7.99</v>
      </c>
      <c r="E87" s="21">
        <v>11398001</v>
      </c>
      <c r="F87" s="20" t="s">
        <v>16</v>
      </c>
      <c r="G87" s="19" t="s">
        <v>17</v>
      </c>
      <c r="H87" s="20" t="s">
        <v>108</v>
      </c>
      <c r="I87" s="20" t="s">
        <v>299</v>
      </c>
      <c r="J87" s="20" t="s">
        <v>20</v>
      </c>
      <c r="K87" s="20" t="s">
        <v>98</v>
      </c>
      <c r="L87" s="23" t="str">
        <f>HYPERLINK("http://slimages.macys.com/is/image/MCY/10280461 ")</f>
        <v xml:space="preserve">http://slimages.macys.com/is/image/MCY/10280461 </v>
      </c>
    </row>
    <row r="88" spans="1:12" ht="39.950000000000003" customHeight="1" x14ac:dyDescent="0.25">
      <c r="A88" s="19" t="s">
        <v>356</v>
      </c>
      <c r="B88" s="20" t="s">
        <v>357</v>
      </c>
      <c r="C88" s="21">
        <v>4</v>
      </c>
      <c r="D88" s="22">
        <v>32</v>
      </c>
      <c r="E88" s="21" t="s">
        <v>358</v>
      </c>
      <c r="F88" s="20" t="s">
        <v>359</v>
      </c>
      <c r="G88" s="19" t="s">
        <v>360</v>
      </c>
      <c r="H88" s="20" t="s">
        <v>328</v>
      </c>
      <c r="I88" s="20" t="s">
        <v>361</v>
      </c>
      <c r="J88" s="20" t="s">
        <v>20</v>
      </c>
      <c r="K88" s="20" t="s">
        <v>362</v>
      </c>
      <c r="L88" s="23" t="str">
        <f>HYPERLINK("http://slimages.macys.com/is/image/MCY/3836056 ")</f>
        <v xml:space="preserve">http://slimages.macys.com/is/image/MCY/3836056 </v>
      </c>
    </row>
    <row r="89" spans="1:12" ht="39.950000000000003" customHeight="1" x14ac:dyDescent="0.25">
      <c r="A89" s="19" t="s">
        <v>363</v>
      </c>
      <c r="B89" s="20" t="s">
        <v>364</v>
      </c>
      <c r="C89" s="21">
        <v>4</v>
      </c>
      <c r="D89" s="22">
        <v>39.96</v>
      </c>
      <c r="E89" s="21" t="s">
        <v>365</v>
      </c>
      <c r="F89" s="20" t="s">
        <v>16</v>
      </c>
      <c r="G89" s="19" t="s">
        <v>17</v>
      </c>
      <c r="H89" s="20" t="s">
        <v>328</v>
      </c>
      <c r="I89" s="20" t="s">
        <v>329</v>
      </c>
      <c r="J89" s="20" t="s">
        <v>20</v>
      </c>
      <c r="K89" s="20" t="s">
        <v>341</v>
      </c>
      <c r="L89" s="23" t="str">
        <f>HYPERLINK("http://slimages.macys.com/is/image/MCY/9375960 ")</f>
        <v xml:space="preserve">http://slimages.macys.com/is/image/MCY/9375960 </v>
      </c>
    </row>
    <row r="90" spans="1:12" ht="39.950000000000003" customHeight="1" x14ac:dyDescent="0.25">
      <c r="A90" s="19" t="s">
        <v>366</v>
      </c>
      <c r="B90" s="20" t="s">
        <v>367</v>
      </c>
      <c r="C90" s="21">
        <v>2</v>
      </c>
      <c r="D90" s="22">
        <v>19.98</v>
      </c>
      <c r="E90" s="21" t="s">
        <v>368</v>
      </c>
      <c r="F90" s="20" t="s">
        <v>16</v>
      </c>
      <c r="G90" s="19" t="s">
        <v>17</v>
      </c>
      <c r="H90" s="20" t="s">
        <v>328</v>
      </c>
      <c r="I90" s="20" t="s">
        <v>329</v>
      </c>
      <c r="J90" s="20" t="s">
        <v>20</v>
      </c>
      <c r="K90" s="20" t="s">
        <v>341</v>
      </c>
      <c r="L90" s="23" t="str">
        <f>HYPERLINK("http://slimages.macys.com/is/image/MCY/9375968 ")</f>
        <v xml:space="preserve">http://slimages.macys.com/is/image/MCY/9375968 </v>
      </c>
    </row>
    <row r="91" spans="1:12" ht="39.950000000000003" customHeight="1" x14ac:dyDescent="0.25">
      <c r="A91" s="19" t="s">
        <v>369</v>
      </c>
      <c r="B91" s="20" t="s">
        <v>370</v>
      </c>
      <c r="C91" s="21">
        <v>6</v>
      </c>
      <c r="D91" s="22">
        <v>59.94</v>
      </c>
      <c r="E91" s="21" t="s">
        <v>371</v>
      </c>
      <c r="F91" s="20" t="s">
        <v>16</v>
      </c>
      <c r="G91" s="19" t="s">
        <v>17</v>
      </c>
      <c r="H91" s="20" t="s">
        <v>328</v>
      </c>
      <c r="I91" s="20" t="s">
        <v>329</v>
      </c>
      <c r="J91" s="20" t="s">
        <v>20</v>
      </c>
      <c r="K91" s="20" t="s">
        <v>341</v>
      </c>
      <c r="L91" s="23" t="str">
        <f>HYPERLINK("http://slimages.macys.com/is/image/MCY/9375969 ")</f>
        <v xml:space="preserve">http://slimages.macys.com/is/image/MCY/9375969 </v>
      </c>
    </row>
    <row r="92" spans="1:12" ht="39.950000000000003" customHeight="1" x14ac:dyDescent="0.25">
      <c r="A92" s="19" t="s">
        <v>372</v>
      </c>
      <c r="B92" s="20" t="s">
        <v>373</v>
      </c>
      <c r="C92" s="21">
        <v>17</v>
      </c>
      <c r="D92" s="22">
        <v>118.83</v>
      </c>
      <c r="E92" s="21" t="s">
        <v>374</v>
      </c>
      <c r="F92" s="20" t="s">
        <v>16</v>
      </c>
      <c r="G92" s="19" t="s">
        <v>17</v>
      </c>
      <c r="H92" s="20" t="s">
        <v>48</v>
      </c>
      <c r="I92" s="20" t="s">
        <v>264</v>
      </c>
      <c r="J92" s="20" t="s">
        <v>20</v>
      </c>
      <c r="K92" s="20" t="s">
        <v>345</v>
      </c>
      <c r="L92" s="23" t="str">
        <f>HYPERLINK("http://slimages.macys.com/is/image/MCY/11831197 ")</f>
        <v xml:space="preserve">http://slimages.macys.com/is/image/MCY/11831197 </v>
      </c>
    </row>
    <row r="93" spans="1:12" ht="39.950000000000003" customHeight="1" x14ac:dyDescent="0.25">
      <c r="A93" s="19" t="s">
        <v>375</v>
      </c>
      <c r="B93" s="20" t="s">
        <v>376</v>
      </c>
      <c r="C93" s="21">
        <v>2</v>
      </c>
      <c r="D93" s="22">
        <v>15.98</v>
      </c>
      <c r="E93" s="21" t="s">
        <v>377</v>
      </c>
      <c r="F93" s="20" t="s">
        <v>16</v>
      </c>
      <c r="G93" s="19" t="s">
        <v>17</v>
      </c>
      <c r="H93" s="20" t="s">
        <v>48</v>
      </c>
      <c r="I93" s="20" t="s">
        <v>264</v>
      </c>
      <c r="J93" s="20" t="s">
        <v>20</v>
      </c>
      <c r="K93" s="20" t="s">
        <v>208</v>
      </c>
      <c r="L93" s="23" t="str">
        <f>HYPERLINK("http://slimages.macys.com/is/image/MCY/11866398 ")</f>
        <v xml:space="preserve">http://slimages.macys.com/is/image/MCY/11866398 </v>
      </c>
    </row>
    <row r="94" spans="1:12" ht="39.950000000000003" customHeight="1" x14ac:dyDescent="0.25">
      <c r="A94" s="19" t="s">
        <v>378</v>
      </c>
      <c r="B94" s="20" t="s">
        <v>379</v>
      </c>
      <c r="C94" s="21">
        <v>1</v>
      </c>
      <c r="D94" s="22">
        <v>8.99</v>
      </c>
      <c r="E94" s="21" t="s">
        <v>380</v>
      </c>
      <c r="F94" s="20" t="s">
        <v>16</v>
      </c>
      <c r="G94" s="19" t="s">
        <v>381</v>
      </c>
      <c r="H94" s="20" t="s">
        <v>229</v>
      </c>
      <c r="I94" s="20" t="s">
        <v>188</v>
      </c>
      <c r="J94" s="20"/>
      <c r="K94" s="20" t="s">
        <v>116</v>
      </c>
      <c r="L94" s="23" t="str">
        <f>HYPERLINK("http://slimages.macys.com/is/image/MCY/692799 ")</f>
        <v xml:space="preserve">http://slimages.macys.com/is/image/MCY/692799 </v>
      </c>
    </row>
    <row r="95" spans="1:12" ht="39.950000000000003" customHeight="1" x14ac:dyDescent="0.25">
      <c r="A95" s="19" t="s">
        <v>382</v>
      </c>
      <c r="B95" s="20" t="s">
        <v>383</v>
      </c>
      <c r="C95" s="21">
        <v>8</v>
      </c>
      <c r="D95" s="22">
        <v>47.92</v>
      </c>
      <c r="E95" s="21">
        <v>5229224</v>
      </c>
      <c r="F95" s="20" t="s">
        <v>89</v>
      </c>
      <c r="G95" s="19" t="s">
        <v>269</v>
      </c>
      <c r="H95" s="20" t="s">
        <v>108</v>
      </c>
      <c r="I95" s="20" t="s">
        <v>384</v>
      </c>
      <c r="J95" s="20" t="s">
        <v>20</v>
      </c>
      <c r="K95" s="20" t="s">
        <v>21</v>
      </c>
      <c r="L95" s="23" t="str">
        <f>HYPERLINK("http://slimages.macys.com/is/image/MCY/9457943 ")</f>
        <v xml:space="preserve">http://slimages.macys.com/is/image/MCY/9457943 </v>
      </c>
    </row>
    <row r="96" spans="1:12" ht="39.950000000000003" customHeight="1" x14ac:dyDescent="0.25">
      <c r="A96" s="19" t="s">
        <v>385</v>
      </c>
      <c r="B96" s="20" t="s">
        <v>386</v>
      </c>
      <c r="C96" s="21">
        <v>1</v>
      </c>
      <c r="D96" s="22">
        <v>5.99</v>
      </c>
      <c r="E96" s="21">
        <v>5213917</v>
      </c>
      <c r="F96" s="20" t="s">
        <v>89</v>
      </c>
      <c r="G96" s="19" t="s">
        <v>269</v>
      </c>
      <c r="H96" s="20" t="s">
        <v>108</v>
      </c>
      <c r="I96" s="20" t="s">
        <v>384</v>
      </c>
      <c r="J96" s="20" t="s">
        <v>20</v>
      </c>
      <c r="K96" s="20"/>
      <c r="L96" s="23" t="str">
        <f>HYPERLINK("http://slimages.macys.com/is/image/MCY/8820575 ")</f>
        <v xml:space="preserve">http://slimages.macys.com/is/image/MCY/8820575 </v>
      </c>
    </row>
    <row r="97" spans="1:12" ht="39.950000000000003" customHeight="1" x14ac:dyDescent="0.25">
      <c r="A97" s="19" t="s">
        <v>387</v>
      </c>
      <c r="B97" s="20" t="s">
        <v>388</v>
      </c>
      <c r="C97" s="21">
        <v>1</v>
      </c>
      <c r="D97" s="22">
        <v>5.99</v>
      </c>
      <c r="E97" s="21">
        <v>5235361</v>
      </c>
      <c r="F97" s="20" t="s">
        <v>89</v>
      </c>
      <c r="G97" s="19" t="s">
        <v>269</v>
      </c>
      <c r="H97" s="20" t="s">
        <v>108</v>
      </c>
      <c r="I97" s="20" t="s">
        <v>384</v>
      </c>
      <c r="J97" s="20" t="s">
        <v>20</v>
      </c>
      <c r="K97" s="20" t="s">
        <v>21</v>
      </c>
      <c r="L97" s="23" t="str">
        <f>HYPERLINK("http://slimages.macys.com/is/image/MCY/9960362 ")</f>
        <v xml:space="preserve">http://slimages.macys.com/is/image/MCY/9960362 </v>
      </c>
    </row>
    <row r="98" spans="1:12" ht="39.950000000000003" customHeight="1" x14ac:dyDescent="0.25">
      <c r="A98" s="19" t="s">
        <v>389</v>
      </c>
      <c r="B98" s="20" t="s">
        <v>390</v>
      </c>
      <c r="C98" s="21">
        <v>4</v>
      </c>
      <c r="D98" s="22">
        <v>23.96</v>
      </c>
      <c r="E98" s="21">
        <v>5235360</v>
      </c>
      <c r="F98" s="20" t="s">
        <v>89</v>
      </c>
      <c r="G98" s="19" t="s">
        <v>269</v>
      </c>
      <c r="H98" s="20" t="s">
        <v>108</v>
      </c>
      <c r="I98" s="20" t="s">
        <v>384</v>
      </c>
      <c r="J98" s="20" t="s">
        <v>20</v>
      </c>
      <c r="K98" s="20" t="s">
        <v>21</v>
      </c>
      <c r="L98" s="23" t="str">
        <f>HYPERLINK("http://slimages.macys.com/is/image/MCY/9960355 ")</f>
        <v xml:space="preserve">http://slimages.macys.com/is/image/MCY/9960355 </v>
      </c>
    </row>
    <row r="99" spans="1:12" ht="39.950000000000003" customHeight="1" x14ac:dyDescent="0.25">
      <c r="A99" s="19" t="s">
        <v>391</v>
      </c>
      <c r="B99" s="20" t="s">
        <v>392</v>
      </c>
      <c r="C99" s="21">
        <v>1</v>
      </c>
      <c r="D99" s="22">
        <v>5.99</v>
      </c>
      <c r="E99" s="21" t="s">
        <v>393</v>
      </c>
      <c r="F99" s="20" t="s">
        <v>394</v>
      </c>
      <c r="G99" s="19"/>
      <c r="H99" s="20" t="s">
        <v>328</v>
      </c>
      <c r="I99" s="20" t="s">
        <v>395</v>
      </c>
      <c r="J99" s="20" t="s">
        <v>20</v>
      </c>
      <c r="K99" s="20" t="s">
        <v>396</v>
      </c>
      <c r="L99" s="23" t="str">
        <f>HYPERLINK("http://slimages.macys.com/is/image/MCY/3337119 ")</f>
        <v xml:space="preserve">http://slimages.macys.com/is/image/MCY/3337119 </v>
      </c>
    </row>
    <row r="100" spans="1:12" ht="39.950000000000003" customHeight="1" x14ac:dyDescent="0.25">
      <c r="A100" s="19" t="s">
        <v>397</v>
      </c>
      <c r="B100" s="20" t="s">
        <v>398</v>
      </c>
      <c r="C100" s="21">
        <v>1</v>
      </c>
      <c r="D100" s="22">
        <v>4.99</v>
      </c>
      <c r="E100" s="21">
        <v>37314</v>
      </c>
      <c r="F100" s="20" t="s">
        <v>16</v>
      </c>
      <c r="G100" s="19" t="s">
        <v>17</v>
      </c>
      <c r="H100" s="20" t="s">
        <v>79</v>
      </c>
      <c r="I100" s="20" t="s">
        <v>281</v>
      </c>
      <c r="J100" s="20" t="s">
        <v>20</v>
      </c>
      <c r="K100" s="20" t="s">
        <v>67</v>
      </c>
      <c r="L100" s="23" t="str">
        <f>HYPERLINK("http://slimages.macys.com/is/image/MCY/14561841 ")</f>
        <v xml:space="preserve">http://slimages.macys.com/is/image/MCY/14561841 </v>
      </c>
    </row>
    <row r="101" spans="1:12" ht="39.950000000000003" customHeight="1" x14ac:dyDescent="0.25">
      <c r="A101" s="19" t="s">
        <v>399</v>
      </c>
      <c r="B101" s="20" t="s">
        <v>400</v>
      </c>
      <c r="C101" s="21">
        <v>1</v>
      </c>
      <c r="D101" s="22">
        <v>4.99</v>
      </c>
      <c r="E101" s="21">
        <v>11398801</v>
      </c>
      <c r="F101" s="20" t="s">
        <v>16</v>
      </c>
      <c r="G101" s="19" t="s">
        <v>17</v>
      </c>
      <c r="H101" s="20" t="s">
        <v>108</v>
      </c>
      <c r="I101" s="20" t="s">
        <v>299</v>
      </c>
      <c r="J101" s="20" t="s">
        <v>20</v>
      </c>
      <c r="K101" s="20" t="s">
        <v>98</v>
      </c>
      <c r="L101" s="23" t="str">
        <f>HYPERLINK("http://slimages.macys.com/is/image/MCY/10888403 ")</f>
        <v xml:space="preserve">http://slimages.macys.com/is/image/MCY/10888403 </v>
      </c>
    </row>
    <row r="102" spans="1:12" ht="39.950000000000003" customHeight="1" x14ac:dyDescent="0.25">
      <c r="A102" s="19" t="s">
        <v>401</v>
      </c>
      <c r="B102" s="20" t="s">
        <v>402</v>
      </c>
      <c r="C102" s="21">
        <v>1</v>
      </c>
      <c r="D102" s="22">
        <v>13.99</v>
      </c>
      <c r="E102" s="21" t="s">
        <v>403</v>
      </c>
      <c r="F102" s="20" t="s">
        <v>16</v>
      </c>
      <c r="G102" s="19" t="s">
        <v>17</v>
      </c>
      <c r="H102" s="20" t="s">
        <v>229</v>
      </c>
      <c r="I102" s="20" t="s">
        <v>188</v>
      </c>
      <c r="J102" s="20"/>
      <c r="K102" s="20" t="s">
        <v>116</v>
      </c>
      <c r="L102" s="23" t="str">
        <f>HYPERLINK("http://slimages.macys.com/is/image/MCY/1066770 ")</f>
        <v xml:space="preserve">http://slimages.macys.com/is/image/MCY/1066770 </v>
      </c>
    </row>
    <row r="103" spans="1:12" ht="39.950000000000003" customHeight="1" x14ac:dyDescent="0.25">
      <c r="A103" s="19" t="s">
        <v>404</v>
      </c>
      <c r="B103" s="20" t="s">
        <v>405</v>
      </c>
      <c r="C103" s="21">
        <v>1</v>
      </c>
      <c r="D103" s="22">
        <v>60</v>
      </c>
      <c r="E103" s="21" t="s">
        <v>406</v>
      </c>
      <c r="F103" s="20" t="s">
        <v>407</v>
      </c>
      <c r="G103" s="19"/>
      <c r="H103" s="20" t="s">
        <v>65</v>
      </c>
      <c r="I103" s="20" t="s">
        <v>408</v>
      </c>
      <c r="J103" s="20"/>
      <c r="K103" s="20"/>
      <c r="L103" s="23"/>
    </row>
    <row r="104" spans="1:12" ht="39.950000000000003" customHeight="1" x14ac:dyDescent="0.25">
      <c r="A104" s="19" t="s">
        <v>409</v>
      </c>
      <c r="B104" s="20" t="s">
        <v>410</v>
      </c>
      <c r="C104" s="21">
        <v>4</v>
      </c>
      <c r="D104" s="22">
        <v>92.44</v>
      </c>
      <c r="E104" s="21">
        <v>10007493500</v>
      </c>
      <c r="F104" s="20" t="s">
        <v>16</v>
      </c>
      <c r="G104" s="19" t="s">
        <v>17</v>
      </c>
      <c r="H104" s="20" t="s">
        <v>229</v>
      </c>
      <c r="I104" s="20" t="s">
        <v>188</v>
      </c>
      <c r="J104" s="20"/>
      <c r="K104" s="20"/>
      <c r="L104" s="23"/>
    </row>
    <row r="105" spans="1:12" ht="39.950000000000003" customHeight="1" x14ac:dyDescent="0.25">
      <c r="A105" s="19" t="s">
        <v>411</v>
      </c>
      <c r="B105" s="20" t="s">
        <v>412</v>
      </c>
      <c r="C105" s="21">
        <v>2</v>
      </c>
      <c r="D105" s="22">
        <v>46.22</v>
      </c>
      <c r="E105" s="21">
        <v>10007929600</v>
      </c>
      <c r="F105" s="20" t="s">
        <v>16</v>
      </c>
      <c r="G105" s="19" t="s">
        <v>17</v>
      </c>
      <c r="H105" s="20" t="s">
        <v>229</v>
      </c>
      <c r="I105" s="20" t="s">
        <v>188</v>
      </c>
      <c r="J105" s="20"/>
      <c r="K105" s="20"/>
      <c r="L105" s="23"/>
    </row>
    <row r="106" spans="1:12" ht="39.950000000000003" customHeight="1" x14ac:dyDescent="0.25">
      <c r="A106" s="19" t="s">
        <v>413</v>
      </c>
      <c r="B106" s="20" t="s">
        <v>414</v>
      </c>
      <c r="C106" s="21">
        <v>1</v>
      </c>
      <c r="D106" s="22">
        <v>28</v>
      </c>
      <c r="E106" s="21" t="s">
        <v>415</v>
      </c>
      <c r="F106" s="20" t="s">
        <v>16</v>
      </c>
      <c r="G106" s="19"/>
      <c r="H106" s="20" t="s">
        <v>48</v>
      </c>
      <c r="I106" s="20" t="s">
        <v>416</v>
      </c>
      <c r="J106" s="20"/>
      <c r="K106" s="20"/>
      <c r="L106" s="23"/>
    </row>
    <row r="107" spans="1:12" ht="39.950000000000003" customHeight="1" x14ac:dyDescent="0.25">
      <c r="A107" s="19" t="s">
        <v>417</v>
      </c>
      <c r="B107" s="20" t="s">
        <v>418</v>
      </c>
      <c r="C107" s="21">
        <v>1</v>
      </c>
      <c r="D107" s="22">
        <v>23.11</v>
      </c>
      <c r="E107" s="21">
        <v>5203236</v>
      </c>
      <c r="F107" s="20" t="s">
        <v>54</v>
      </c>
      <c r="G107" s="19" t="s">
        <v>17</v>
      </c>
      <c r="H107" s="20" t="s">
        <v>56</v>
      </c>
      <c r="I107" s="20" t="s">
        <v>42</v>
      </c>
      <c r="J107" s="20"/>
      <c r="K107" s="20"/>
      <c r="L107" s="23"/>
    </row>
    <row r="108" spans="1:12" ht="39.950000000000003" customHeight="1" x14ac:dyDescent="0.25">
      <c r="A108" s="19" t="s">
        <v>419</v>
      </c>
      <c r="B108" s="20" t="s">
        <v>420</v>
      </c>
      <c r="C108" s="21">
        <v>1</v>
      </c>
      <c r="D108" s="22">
        <v>23.11</v>
      </c>
      <c r="E108" s="21">
        <v>5203237</v>
      </c>
      <c r="F108" s="20" t="s">
        <v>54</v>
      </c>
      <c r="G108" s="19" t="s">
        <v>17</v>
      </c>
      <c r="H108" s="20" t="s">
        <v>56</v>
      </c>
      <c r="I108" s="20" t="s">
        <v>42</v>
      </c>
      <c r="J108" s="20"/>
      <c r="K108" s="20"/>
      <c r="L108" s="23"/>
    </row>
    <row r="109" spans="1:12" ht="39.950000000000003" customHeight="1" x14ac:dyDescent="0.25">
      <c r="A109" s="19" t="s">
        <v>421</v>
      </c>
      <c r="B109" s="20" t="s">
        <v>422</v>
      </c>
      <c r="C109" s="21">
        <v>1</v>
      </c>
      <c r="D109" s="22">
        <v>0.02</v>
      </c>
      <c r="E109" s="21">
        <v>5061018</v>
      </c>
      <c r="F109" s="20" t="s">
        <v>16</v>
      </c>
      <c r="G109" s="19" t="s">
        <v>17</v>
      </c>
      <c r="H109" s="20" t="s">
        <v>56</v>
      </c>
      <c r="I109" s="20" t="s">
        <v>423</v>
      </c>
      <c r="J109" s="20"/>
      <c r="K109" s="20"/>
      <c r="L109" s="23"/>
    </row>
    <row r="110" spans="1:12" ht="39.950000000000003" customHeight="1" x14ac:dyDescent="0.25">
      <c r="A110" s="19" t="s">
        <v>424</v>
      </c>
      <c r="B110" s="20" t="s">
        <v>425</v>
      </c>
      <c r="C110" s="21">
        <v>1</v>
      </c>
      <c r="D110" s="22">
        <v>23.11</v>
      </c>
      <c r="E110" s="21">
        <v>5203462</v>
      </c>
      <c r="F110" s="20" t="s">
        <v>54</v>
      </c>
      <c r="G110" s="19" t="s">
        <v>17</v>
      </c>
      <c r="H110" s="20" t="s">
        <v>56</v>
      </c>
      <c r="I110" s="20" t="s">
        <v>42</v>
      </c>
      <c r="J110" s="20"/>
      <c r="K110" s="20"/>
      <c r="L110" s="23"/>
    </row>
    <row r="111" spans="1:12" ht="39.950000000000003" customHeight="1" x14ac:dyDescent="0.25">
      <c r="A111" s="19" t="s">
        <v>426</v>
      </c>
      <c r="B111" s="20" t="s">
        <v>427</v>
      </c>
      <c r="C111" s="21">
        <v>1</v>
      </c>
      <c r="D111" s="22">
        <v>23.11</v>
      </c>
      <c r="E111" s="21" t="s">
        <v>428</v>
      </c>
      <c r="F111" s="20" t="s">
        <v>54</v>
      </c>
      <c r="G111" s="19" t="s">
        <v>55</v>
      </c>
      <c r="H111" s="20" t="s">
        <v>56</v>
      </c>
      <c r="I111" s="20" t="s">
        <v>57</v>
      </c>
      <c r="J111" s="20"/>
      <c r="K111" s="20"/>
      <c r="L111" s="23"/>
    </row>
    <row r="112" spans="1:12" ht="39.950000000000003" customHeight="1" x14ac:dyDescent="0.25">
      <c r="A112" s="19" t="s">
        <v>429</v>
      </c>
      <c r="B112" s="20" t="s">
        <v>430</v>
      </c>
      <c r="C112" s="21">
        <v>1</v>
      </c>
      <c r="D112" s="22">
        <v>0.02</v>
      </c>
      <c r="E112" s="21" t="s">
        <v>431</v>
      </c>
      <c r="F112" s="20" t="s">
        <v>54</v>
      </c>
      <c r="G112" s="19" t="s">
        <v>55</v>
      </c>
      <c r="H112" s="20" t="s">
        <v>56</v>
      </c>
      <c r="I112" s="20" t="s">
        <v>432</v>
      </c>
      <c r="J112" s="20"/>
      <c r="K112" s="20"/>
      <c r="L112" s="23"/>
    </row>
    <row r="113" spans="1:12" ht="39.950000000000003" customHeight="1" x14ac:dyDescent="0.25">
      <c r="A113" s="19" t="s">
        <v>433</v>
      </c>
      <c r="B113" s="20" t="s">
        <v>434</v>
      </c>
      <c r="C113" s="21">
        <v>45</v>
      </c>
      <c r="D113" s="22">
        <v>179.55</v>
      </c>
      <c r="E113" s="21" t="s">
        <v>435</v>
      </c>
      <c r="F113" s="20" t="s">
        <v>436</v>
      </c>
      <c r="G113" s="19"/>
      <c r="H113" s="20" t="s">
        <v>32</v>
      </c>
      <c r="I113" s="20" t="s">
        <v>437</v>
      </c>
      <c r="J113" s="20"/>
      <c r="K113" s="20"/>
      <c r="L113" s="23"/>
    </row>
    <row r="114" spans="1:12" ht="39.950000000000003" customHeight="1" x14ac:dyDescent="0.25">
      <c r="A114" s="19" t="s">
        <v>438</v>
      </c>
      <c r="B114" s="20" t="s">
        <v>439</v>
      </c>
      <c r="C114" s="21">
        <v>6</v>
      </c>
      <c r="D114" s="22">
        <v>23.94</v>
      </c>
      <c r="E114" s="21" t="s">
        <v>440</v>
      </c>
      <c r="F114" s="20" t="s">
        <v>349</v>
      </c>
      <c r="G114" s="19"/>
      <c r="H114" s="20" t="s">
        <v>32</v>
      </c>
      <c r="I114" s="20" t="s">
        <v>437</v>
      </c>
      <c r="J114" s="20"/>
      <c r="K114" s="20"/>
      <c r="L114" s="23"/>
    </row>
    <row r="115" spans="1:12" ht="39.950000000000003" customHeight="1" x14ac:dyDescent="0.25">
      <c r="A115" s="19" t="s">
        <v>441</v>
      </c>
      <c r="B115" s="20" t="s">
        <v>442</v>
      </c>
      <c r="C115" s="21">
        <v>1</v>
      </c>
      <c r="D115" s="22">
        <v>3.99</v>
      </c>
      <c r="E115" s="21" t="s">
        <v>443</v>
      </c>
      <c r="F115" s="20"/>
      <c r="G115" s="19"/>
      <c r="H115" s="20" t="s">
        <v>48</v>
      </c>
      <c r="I115" s="20" t="s">
        <v>207</v>
      </c>
      <c r="J115" s="20"/>
      <c r="K115" s="20"/>
      <c r="L115" s="23"/>
    </row>
    <row r="116" spans="1:12" ht="39.950000000000003" customHeight="1" x14ac:dyDescent="0.25">
      <c r="C116" s="26">
        <f>SUM(C2:C115)</f>
        <v>314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5"/>
  <sheetViews>
    <sheetView workbookViewId="0"/>
  </sheetViews>
  <sheetFormatPr defaultRowHeight="15" x14ac:dyDescent="0.25"/>
  <cols>
    <col min="1" max="1" width="14.28515625" customWidth="1"/>
    <col min="2" max="2" width="22.28515625" customWidth="1"/>
    <col min="3" max="3" width="15" customWidth="1"/>
    <col min="4" max="4" width="10.28515625" customWidth="1"/>
    <col min="5" max="5" width="17.140625" customWidth="1"/>
    <col min="6" max="6" width="11.42578125" customWidth="1"/>
    <col min="7" max="7" width="10.85546875" customWidth="1"/>
    <col min="8" max="8" width="12.140625" customWidth="1"/>
    <col min="9" max="9" width="36.5703125" bestFit="1" customWidth="1"/>
    <col min="10" max="11" width="20.7109375" customWidth="1"/>
    <col min="12" max="12" width="64.28515625" customWidth="1"/>
  </cols>
  <sheetData>
    <row r="1" spans="1:12" ht="39.950000000000003" customHeight="1" x14ac:dyDescent="0.25">
      <c r="A1" s="3" t="s">
        <v>2</v>
      </c>
      <c r="B1" s="3" t="s">
        <v>3</v>
      </c>
      <c r="C1" s="3" t="s">
        <v>4</v>
      </c>
      <c r="D1" s="3" t="s">
        <v>5</v>
      </c>
      <c r="E1" s="3" t="s">
        <v>6</v>
      </c>
      <c r="F1" s="3" t="s">
        <v>7</v>
      </c>
      <c r="G1" s="3" t="s">
        <v>8</v>
      </c>
      <c r="H1" s="3" t="s">
        <v>9</v>
      </c>
      <c r="I1" s="3" t="s">
        <v>10</v>
      </c>
      <c r="J1" s="3" t="s">
        <v>11</v>
      </c>
      <c r="K1" s="3" t="s">
        <v>12</v>
      </c>
      <c r="L1" s="3" t="s">
        <v>13</v>
      </c>
    </row>
    <row r="2" spans="1:12" ht="39.950000000000003" customHeight="1" x14ac:dyDescent="0.25">
      <c r="A2" s="4" t="s">
        <v>3395</v>
      </c>
      <c r="B2" s="5" t="s">
        <v>3396</v>
      </c>
      <c r="C2" s="6">
        <v>1</v>
      </c>
      <c r="D2" s="7">
        <v>339.99</v>
      </c>
      <c r="E2" s="6">
        <v>61224</v>
      </c>
      <c r="F2" s="5" t="s">
        <v>89</v>
      </c>
      <c r="G2" s="8"/>
      <c r="H2" s="5" t="s">
        <v>782</v>
      </c>
      <c r="I2" s="5" t="s">
        <v>835</v>
      </c>
      <c r="J2" s="5" t="s">
        <v>20</v>
      </c>
      <c r="K2" s="5" t="s">
        <v>3397</v>
      </c>
      <c r="L2" s="9" t="str">
        <f>HYPERLINK("http://slimages.macys.com/is/image/MCY/15866492 ")</f>
        <v xml:space="preserve">http://slimages.macys.com/is/image/MCY/15866492 </v>
      </c>
    </row>
    <row r="3" spans="1:12" ht="39.950000000000003" customHeight="1" x14ac:dyDescent="0.25">
      <c r="A3" s="4" t="s">
        <v>3398</v>
      </c>
      <c r="B3" s="5" t="s">
        <v>3399</v>
      </c>
      <c r="C3" s="6">
        <v>1</v>
      </c>
      <c r="D3" s="7">
        <v>300.99</v>
      </c>
      <c r="E3" s="6" t="s">
        <v>3400</v>
      </c>
      <c r="F3" s="5" t="s">
        <v>555</v>
      </c>
      <c r="G3" s="8"/>
      <c r="H3" s="5" t="s">
        <v>712</v>
      </c>
      <c r="I3" s="5" t="s">
        <v>746</v>
      </c>
      <c r="J3" s="5" t="s">
        <v>20</v>
      </c>
      <c r="K3" s="5" t="s">
        <v>1032</v>
      </c>
      <c r="L3" s="9" t="str">
        <f>HYPERLINK("http://slimages.macys.com/is/image/MCY/9536375 ")</f>
        <v xml:space="preserve">http://slimages.macys.com/is/image/MCY/9536375 </v>
      </c>
    </row>
    <row r="4" spans="1:12" ht="39.950000000000003" customHeight="1" x14ac:dyDescent="0.25">
      <c r="A4" s="4" t="s">
        <v>3401</v>
      </c>
      <c r="B4" s="5" t="s">
        <v>3402</v>
      </c>
      <c r="C4" s="6">
        <v>1</v>
      </c>
      <c r="D4" s="7">
        <v>279.99</v>
      </c>
      <c r="E4" s="6" t="s">
        <v>706</v>
      </c>
      <c r="F4" s="5" t="s">
        <v>54</v>
      </c>
      <c r="G4" s="8"/>
      <c r="H4" s="5" t="s">
        <v>707</v>
      </c>
      <c r="I4" s="5" t="s">
        <v>708</v>
      </c>
      <c r="J4" s="5" t="s">
        <v>20</v>
      </c>
      <c r="K4" s="5" t="s">
        <v>330</v>
      </c>
      <c r="L4" s="9" t="str">
        <f>HYPERLINK("http://slimages.macys.com/is/image/MCY/14788488 ")</f>
        <v xml:space="preserve">http://slimages.macys.com/is/image/MCY/14788488 </v>
      </c>
    </row>
    <row r="5" spans="1:12" ht="39.950000000000003" customHeight="1" x14ac:dyDescent="0.25">
      <c r="A5" s="4" t="s">
        <v>3403</v>
      </c>
      <c r="B5" s="5" t="s">
        <v>3404</v>
      </c>
      <c r="C5" s="6">
        <v>1</v>
      </c>
      <c r="D5" s="7">
        <v>199.99</v>
      </c>
      <c r="E5" s="6" t="s">
        <v>3405</v>
      </c>
      <c r="F5" s="5" t="s">
        <v>89</v>
      </c>
      <c r="G5" s="8" t="s">
        <v>1065</v>
      </c>
      <c r="H5" s="5" t="s">
        <v>724</v>
      </c>
      <c r="I5" s="5" t="s">
        <v>725</v>
      </c>
      <c r="J5" s="5"/>
      <c r="K5" s="5"/>
      <c r="L5" s="9" t="str">
        <f>HYPERLINK("http://slimages.macys.com/is/image/MCY/17576407 ")</f>
        <v xml:space="preserve">http://slimages.macys.com/is/image/MCY/17576407 </v>
      </c>
    </row>
    <row r="6" spans="1:12" ht="39.950000000000003" customHeight="1" x14ac:dyDescent="0.25">
      <c r="A6" s="4" t="s">
        <v>3406</v>
      </c>
      <c r="B6" s="5" t="s">
        <v>3407</v>
      </c>
      <c r="C6" s="6">
        <v>1</v>
      </c>
      <c r="D6" s="7">
        <v>199.99</v>
      </c>
      <c r="E6" s="6" t="s">
        <v>3408</v>
      </c>
      <c r="F6" s="5" t="s">
        <v>1031</v>
      </c>
      <c r="G6" s="8"/>
      <c r="H6" s="5" t="s">
        <v>707</v>
      </c>
      <c r="I6" s="5" t="s">
        <v>1868</v>
      </c>
      <c r="J6" s="5" t="s">
        <v>20</v>
      </c>
      <c r="K6" s="5" t="s">
        <v>3409</v>
      </c>
      <c r="L6" s="9" t="str">
        <f>HYPERLINK("http://slimages.macys.com/is/image/MCY/12072107 ")</f>
        <v xml:space="preserve">http://slimages.macys.com/is/image/MCY/12072107 </v>
      </c>
    </row>
    <row r="7" spans="1:12" ht="39.950000000000003" customHeight="1" x14ac:dyDescent="0.25">
      <c r="A7" s="4" t="s">
        <v>3410</v>
      </c>
      <c r="B7" s="5" t="s">
        <v>3411</v>
      </c>
      <c r="C7" s="6">
        <v>1</v>
      </c>
      <c r="D7" s="7">
        <v>169.99</v>
      </c>
      <c r="E7" s="6" t="s">
        <v>3412</v>
      </c>
      <c r="F7" s="5" t="s">
        <v>922</v>
      </c>
      <c r="G7" s="8"/>
      <c r="H7" s="5" t="s">
        <v>712</v>
      </c>
      <c r="I7" s="5" t="s">
        <v>746</v>
      </c>
      <c r="J7" s="5" t="s">
        <v>20</v>
      </c>
      <c r="K7" s="5" t="s">
        <v>3413</v>
      </c>
      <c r="L7" s="9" t="str">
        <f>HYPERLINK("http://slimages.macys.com/is/image/MCY/9627753 ")</f>
        <v xml:space="preserve">http://slimages.macys.com/is/image/MCY/9627753 </v>
      </c>
    </row>
    <row r="8" spans="1:12" ht="39.950000000000003" customHeight="1" x14ac:dyDescent="0.25">
      <c r="A8" s="4" t="s">
        <v>3414</v>
      </c>
      <c r="B8" s="5" t="s">
        <v>3415</v>
      </c>
      <c r="C8" s="6">
        <v>1</v>
      </c>
      <c r="D8" s="7">
        <v>199</v>
      </c>
      <c r="E8" s="6" t="s">
        <v>3416</v>
      </c>
      <c r="F8" s="5" t="s">
        <v>759</v>
      </c>
      <c r="G8" s="8"/>
      <c r="H8" s="5" t="s">
        <v>707</v>
      </c>
      <c r="I8" s="5" t="s">
        <v>1110</v>
      </c>
      <c r="J8" s="5"/>
      <c r="K8" s="5"/>
      <c r="L8" s="9" t="str">
        <f>HYPERLINK("http://slimages.macys.com/is/image/MCY/17106737 ")</f>
        <v xml:space="preserve">http://slimages.macys.com/is/image/MCY/17106737 </v>
      </c>
    </row>
    <row r="9" spans="1:12" ht="39.950000000000003" customHeight="1" x14ac:dyDescent="0.25">
      <c r="A9" s="4" t="s">
        <v>3417</v>
      </c>
      <c r="B9" s="5" t="s">
        <v>3418</v>
      </c>
      <c r="C9" s="6">
        <v>1</v>
      </c>
      <c r="D9" s="7">
        <v>179.99</v>
      </c>
      <c r="E9" s="6" t="s">
        <v>3419</v>
      </c>
      <c r="F9" s="5" t="s">
        <v>89</v>
      </c>
      <c r="G9" s="8" t="s">
        <v>1065</v>
      </c>
      <c r="H9" s="5" t="s">
        <v>724</v>
      </c>
      <c r="I9" s="5" t="s">
        <v>725</v>
      </c>
      <c r="J9" s="5" t="s">
        <v>20</v>
      </c>
      <c r="K9" s="5" t="s">
        <v>726</v>
      </c>
      <c r="L9" s="9" t="str">
        <f>HYPERLINK("http://slimages.macys.com/is/image/MCY/3962581 ")</f>
        <v xml:space="preserve">http://slimages.macys.com/is/image/MCY/3962581 </v>
      </c>
    </row>
    <row r="10" spans="1:12" ht="39.950000000000003" customHeight="1" x14ac:dyDescent="0.25">
      <c r="A10" s="4" t="s">
        <v>3420</v>
      </c>
      <c r="B10" s="5" t="s">
        <v>3421</v>
      </c>
      <c r="C10" s="6">
        <v>1</v>
      </c>
      <c r="D10" s="7">
        <v>199.99</v>
      </c>
      <c r="E10" s="6" t="s">
        <v>3422</v>
      </c>
      <c r="F10" s="5" t="s">
        <v>89</v>
      </c>
      <c r="G10" s="8"/>
      <c r="H10" s="5" t="s">
        <v>1854</v>
      </c>
      <c r="I10" s="5" t="s">
        <v>725</v>
      </c>
      <c r="J10" s="5" t="s">
        <v>20</v>
      </c>
      <c r="K10" s="5"/>
      <c r="L10" s="9" t="str">
        <f>HYPERLINK("http://slimages.macys.com/is/image/MCY/2355760 ")</f>
        <v xml:space="preserve">http://slimages.macys.com/is/image/MCY/2355760 </v>
      </c>
    </row>
    <row r="11" spans="1:12" ht="39.950000000000003" customHeight="1" x14ac:dyDescent="0.25">
      <c r="A11" s="4" t="s">
        <v>3423</v>
      </c>
      <c r="B11" s="5" t="s">
        <v>1866</v>
      </c>
      <c r="C11" s="6">
        <v>1</v>
      </c>
      <c r="D11" s="7">
        <v>199.99</v>
      </c>
      <c r="E11" s="6" t="s">
        <v>3424</v>
      </c>
      <c r="F11" s="5" t="s">
        <v>483</v>
      </c>
      <c r="G11" s="8"/>
      <c r="H11" s="5" t="s">
        <v>707</v>
      </c>
      <c r="I11" s="5" t="s">
        <v>1868</v>
      </c>
      <c r="J11" s="5"/>
      <c r="K11" s="5"/>
      <c r="L11" s="9" t="str">
        <f>HYPERLINK("http://slimages.macys.com/is/image/MCY/17106627 ")</f>
        <v xml:space="preserve">http://slimages.macys.com/is/image/MCY/17106627 </v>
      </c>
    </row>
    <row r="12" spans="1:12" ht="39.950000000000003" customHeight="1" x14ac:dyDescent="0.25">
      <c r="A12" s="4" t="s">
        <v>3425</v>
      </c>
      <c r="B12" s="5" t="s">
        <v>3426</v>
      </c>
      <c r="C12" s="6">
        <v>1</v>
      </c>
      <c r="D12" s="7">
        <v>199.99</v>
      </c>
      <c r="E12" s="6" t="s">
        <v>3427</v>
      </c>
      <c r="F12" s="5" t="s">
        <v>922</v>
      </c>
      <c r="G12" s="8"/>
      <c r="H12" s="5" t="s">
        <v>707</v>
      </c>
      <c r="I12" s="5" t="s">
        <v>1868</v>
      </c>
      <c r="J12" s="5" t="s">
        <v>20</v>
      </c>
      <c r="K12" s="5" t="s">
        <v>3428</v>
      </c>
      <c r="L12" s="9" t="str">
        <f>HYPERLINK("http://slimages.macys.com/is/image/MCY/16354713 ")</f>
        <v xml:space="preserve">http://slimages.macys.com/is/image/MCY/16354713 </v>
      </c>
    </row>
    <row r="13" spans="1:12" ht="39.950000000000003" customHeight="1" x14ac:dyDescent="0.25">
      <c r="A13" s="4" t="s">
        <v>3429</v>
      </c>
      <c r="B13" s="5" t="s">
        <v>3430</v>
      </c>
      <c r="C13" s="6">
        <v>1</v>
      </c>
      <c r="D13" s="7">
        <v>149.99</v>
      </c>
      <c r="E13" s="6" t="s">
        <v>3431</v>
      </c>
      <c r="F13" s="5" t="s">
        <v>555</v>
      </c>
      <c r="G13" s="8"/>
      <c r="H13" s="5" t="s">
        <v>700</v>
      </c>
      <c r="I13" s="5" t="s">
        <v>840</v>
      </c>
      <c r="J13" s="5" t="s">
        <v>20</v>
      </c>
      <c r="K13" s="5" t="s">
        <v>936</v>
      </c>
      <c r="L13" s="9" t="str">
        <f>HYPERLINK("http://slimages.macys.com/is/image/MCY/15754065 ")</f>
        <v xml:space="preserve">http://slimages.macys.com/is/image/MCY/15754065 </v>
      </c>
    </row>
    <row r="14" spans="1:12" ht="39.950000000000003" customHeight="1" x14ac:dyDescent="0.25">
      <c r="A14" s="4" t="s">
        <v>3432</v>
      </c>
      <c r="B14" s="5" t="s">
        <v>3433</v>
      </c>
      <c r="C14" s="6">
        <v>1</v>
      </c>
      <c r="D14" s="7">
        <v>139.99</v>
      </c>
      <c r="E14" s="6" t="s">
        <v>3434</v>
      </c>
      <c r="F14" s="5" t="s">
        <v>555</v>
      </c>
      <c r="G14" s="8"/>
      <c r="H14" s="5" t="s">
        <v>1673</v>
      </c>
      <c r="I14" s="5" t="s">
        <v>1674</v>
      </c>
      <c r="J14" s="5" t="s">
        <v>20</v>
      </c>
      <c r="K14" s="5" t="s">
        <v>3435</v>
      </c>
      <c r="L14" s="9" t="str">
        <f>HYPERLINK("http://slimages.macys.com/is/image/MCY/14607158 ")</f>
        <v xml:space="preserve">http://slimages.macys.com/is/image/MCY/14607158 </v>
      </c>
    </row>
    <row r="15" spans="1:12" ht="39.950000000000003" customHeight="1" x14ac:dyDescent="0.25">
      <c r="A15" s="4" t="s">
        <v>3436</v>
      </c>
      <c r="B15" s="5" t="s">
        <v>3437</v>
      </c>
      <c r="C15" s="6">
        <v>1</v>
      </c>
      <c r="D15" s="7">
        <v>89.99</v>
      </c>
      <c r="E15" s="6" t="s">
        <v>3438</v>
      </c>
      <c r="F15" s="5" t="s">
        <v>922</v>
      </c>
      <c r="G15" s="8"/>
      <c r="H15" s="5" t="s">
        <v>700</v>
      </c>
      <c r="I15" s="5" t="s">
        <v>894</v>
      </c>
      <c r="J15" s="5"/>
      <c r="K15" s="5"/>
      <c r="L15" s="9" t="str">
        <f>HYPERLINK("http://slimages.macys.com/is/image/MCY/17276046 ")</f>
        <v xml:space="preserve">http://slimages.macys.com/is/image/MCY/17276046 </v>
      </c>
    </row>
    <row r="16" spans="1:12" ht="39.950000000000003" customHeight="1" x14ac:dyDescent="0.25">
      <c r="A16" s="4" t="s">
        <v>3439</v>
      </c>
      <c r="B16" s="5" t="s">
        <v>3440</v>
      </c>
      <c r="C16" s="6">
        <v>1</v>
      </c>
      <c r="D16" s="7">
        <v>99.99</v>
      </c>
      <c r="E16" s="6" t="s">
        <v>3441</v>
      </c>
      <c r="F16" s="5" t="s">
        <v>349</v>
      </c>
      <c r="G16" s="8"/>
      <c r="H16" s="5" t="s">
        <v>739</v>
      </c>
      <c r="I16" s="5" t="s">
        <v>1925</v>
      </c>
      <c r="J16" s="5" t="s">
        <v>20</v>
      </c>
      <c r="K16" s="5"/>
      <c r="L16" s="9" t="str">
        <f>HYPERLINK("http://slimages.macys.com/is/image/MCY/16334131 ")</f>
        <v xml:space="preserve">http://slimages.macys.com/is/image/MCY/16334131 </v>
      </c>
    </row>
    <row r="17" spans="1:12" ht="39.950000000000003" customHeight="1" x14ac:dyDescent="0.25">
      <c r="A17" s="4" t="s">
        <v>3442</v>
      </c>
      <c r="B17" s="5" t="s">
        <v>3443</v>
      </c>
      <c r="C17" s="6">
        <v>1</v>
      </c>
      <c r="D17" s="7">
        <v>99.99</v>
      </c>
      <c r="E17" s="6" t="s">
        <v>3444</v>
      </c>
      <c r="F17" s="5" t="s">
        <v>922</v>
      </c>
      <c r="G17" s="8"/>
      <c r="H17" s="5" t="s">
        <v>772</v>
      </c>
      <c r="I17" s="5" t="s">
        <v>773</v>
      </c>
      <c r="J17" s="5" t="s">
        <v>20</v>
      </c>
      <c r="K17" s="5" t="s">
        <v>341</v>
      </c>
      <c r="L17" s="9" t="str">
        <f>HYPERLINK("http://slimages.macys.com/is/image/MCY/8433239 ")</f>
        <v xml:space="preserve">http://slimages.macys.com/is/image/MCY/8433239 </v>
      </c>
    </row>
    <row r="18" spans="1:12" ht="39.950000000000003" customHeight="1" x14ac:dyDescent="0.25">
      <c r="A18" s="4" t="s">
        <v>774</v>
      </c>
      <c r="B18" s="5" t="s">
        <v>775</v>
      </c>
      <c r="C18" s="6">
        <v>1</v>
      </c>
      <c r="D18" s="7">
        <v>129.99</v>
      </c>
      <c r="E18" s="6" t="s">
        <v>776</v>
      </c>
      <c r="F18" s="5" t="s">
        <v>89</v>
      </c>
      <c r="G18" s="8"/>
      <c r="H18" s="5" t="s">
        <v>772</v>
      </c>
      <c r="I18" s="5" t="s">
        <v>773</v>
      </c>
      <c r="J18" s="5" t="s">
        <v>20</v>
      </c>
      <c r="K18" s="5" t="s">
        <v>777</v>
      </c>
      <c r="L18" s="9" t="str">
        <f>HYPERLINK("http://slimages.macys.com/is/image/MCY/15862594 ")</f>
        <v xml:space="preserve">http://slimages.macys.com/is/image/MCY/15862594 </v>
      </c>
    </row>
    <row r="19" spans="1:12" ht="39.950000000000003" customHeight="1" x14ac:dyDescent="0.25">
      <c r="A19" s="4" t="s">
        <v>3445</v>
      </c>
      <c r="B19" s="5" t="s">
        <v>3446</v>
      </c>
      <c r="C19" s="6">
        <v>1</v>
      </c>
      <c r="D19" s="7">
        <v>79.989999999999995</v>
      </c>
      <c r="E19" s="6" t="s">
        <v>3447</v>
      </c>
      <c r="F19" s="5" t="s">
        <v>691</v>
      </c>
      <c r="G19" s="8"/>
      <c r="H19" s="5" t="s">
        <v>707</v>
      </c>
      <c r="I19" s="5" t="s">
        <v>874</v>
      </c>
      <c r="J19" s="5" t="s">
        <v>20</v>
      </c>
      <c r="K19" s="5"/>
      <c r="L19" s="9" t="str">
        <f>HYPERLINK("http://slimages.macys.com/is/image/MCY/10673248 ")</f>
        <v xml:space="preserve">http://slimages.macys.com/is/image/MCY/10673248 </v>
      </c>
    </row>
    <row r="20" spans="1:12" ht="39.950000000000003" customHeight="1" x14ac:dyDescent="0.25">
      <c r="A20" s="4" t="s">
        <v>3448</v>
      </c>
      <c r="B20" s="5" t="s">
        <v>3449</v>
      </c>
      <c r="C20" s="6">
        <v>1</v>
      </c>
      <c r="D20" s="7">
        <v>56.99</v>
      </c>
      <c r="E20" s="6" t="s">
        <v>3450</v>
      </c>
      <c r="F20" s="5" t="s">
        <v>89</v>
      </c>
      <c r="G20" s="8" t="s">
        <v>1804</v>
      </c>
      <c r="H20" s="5" t="s">
        <v>724</v>
      </c>
      <c r="I20" s="5" t="s">
        <v>3119</v>
      </c>
      <c r="J20" s="5" t="s">
        <v>110</v>
      </c>
      <c r="K20" s="5" t="s">
        <v>1599</v>
      </c>
      <c r="L20" s="9" t="str">
        <f>HYPERLINK("http://slimages.macys.com/is/image/MCY/9406278 ")</f>
        <v xml:space="preserve">http://slimages.macys.com/is/image/MCY/9406278 </v>
      </c>
    </row>
    <row r="21" spans="1:12" ht="39.950000000000003" customHeight="1" x14ac:dyDescent="0.25">
      <c r="A21" s="4" t="s">
        <v>3451</v>
      </c>
      <c r="B21" s="5" t="s">
        <v>3452</v>
      </c>
      <c r="C21" s="6">
        <v>1</v>
      </c>
      <c r="D21" s="7">
        <v>39.99</v>
      </c>
      <c r="E21" s="6">
        <v>17797</v>
      </c>
      <c r="F21" s="5" t="s">
        <v>1124</v>
      </c>
      <c r="G21" s="8" t="s">
        <v>17</v>
      </c>
      <c r="H21" s="5" t="s">
        <v>745</v>
      </c>
      <c r="I21" s="5" t="s">
        <v>879</v>
      </c>
      <c r="J21" s="5" t="s">
        <v>20</v>
      </c>
      <c r="K21" s="5" t="s">
        <v>396</v>
      </c>
      <c r="L21" s="9" t="str">
        <f>HYPERLINK("http://slimages.macys.com/is/image/MCY/9175647 ")</f>
        <v xml:space="preserve">http://slimages.macys.com/is/image/MCY/9175647 </v>
      </c>
    </row>
    <row r="22" spans="1:12" ht="39.950000000000003" customHeight="1" x14ac:dyDescent="0.25">
      <c r="A22" s="4" t="s">
        <v>3453</v>
      </c>
      <c r="B22" s="5" t="s">
        <v>3454</v>
      </c>
      <c r="C22" s="6">
        <v>1</v>
      </c>
      <c r="D22" s="7">
        <v>39.99</v>
      </c>
      <c r="E22" s="6" t="s">
        <v>3455</v>
      </c>
      <c r="F22" s="5" t="s">
        <v>600</v>
      </c>
      <c r="G22" s="8" t="s">
        <v>3456</v>
      </c>
      <c r="H22" s="5" t="s">
        <v>700</v>
      </c>
      <c r="I22" s="5" t="s">
        <v>840</v>
      </c>
      <c r="J22" s="5" t="s">
        <v>20</v>
      </c>
      <c r="K22" s="5"/>
      <c r="L22" s="9" t="str">
        <f>HYPERLINK("http://slimages.macys.com/is/image/MCY/9064568 ")</f>
        <v xml:space="preserve">http://slimages.macys.com/is/image/MCY/9064568 </v>
      </c>
    </row>
    <row r="23" spans="1:12" ht="39.950000000000003" customHeight="1" x14ac:dyDescent="0.25">
      <c r="A23" s="4" t="s">
        <v>3457</v>
      </c>
      <c r="B23" s="5" t="s">
        <v>3458</v>
      </c>
      <c r="C23" s="6">
        <v>1</v>
      </c>
      <c r="D23" s="7">
        <v>49.99</v>
      </c>
      <c r="E23" s="6" t="s">
        <v>3459</v>
      </c>
      <c r="F23" s="5" t="s">
        <v>394</v>
      </c>
      <c r="G23" s="8"/>
      <c r="H23" s="5" t="s">
        <v>712</v>
      </c>
      <c r="I23" s="5" t="s">
        <v>1092</v>
      </c>
      <c r="J23" s="5" t="s">
        <v>20</v>
      </c>
      <c r="K23" s="5" t="s">
        <v>396</v>
      </c>
      <c r="L23" s="9" t="str">
        <f>HYPERLINK("http://slimages.macys.com/is/image/MCY/8347198 ")</f>
        <v xml:space="preserve">http://slimages.macys.com/is/image/MCY/8347198 </v>
      </c>
    </row>
    <row r="24" spans="1:12" ht="39.950000000000003" customHeight="1" x14ac:dyDescent="0.25">
      <c r="A24" s="4" t="s">
        <v>2360</v>
      </c>
      <c r="B24" s="5" t="s">
        <v>2361</v>
      </c>
      <c r="C24" s="6">
        <v>1</v>
      </c>
      <c r="D24" s="7">
        <v>99.99</v>
      </c>
      <c r="E24" s="6" t="s">
        <v>2362</v>
      </c>
      <c r="F24" s="5" t="s">
        <v>89</v>
      </c>
      <c r="G24" s="8" t="s">
        <v>845</v>
      </c>
      <c r="H24" s="5" t="s">
        <v>707</v>
      </c>
      <c r="I24" s="5" t="s">
        <v>730</v>
      </c>
      <c r="J24" s="5" t="s">
        <v>20</v>
      </c>
      <c r="K24" s="5" t="s">
        <v>846</v>
      </c>
      <c r="L24" s="9" t="str">
        <f>HYPERLINK("http://slimages.macys.com/is/image/MCY/8182285 ")</f>
        <v xml:space="preserve">http://slimages.macys.com/is/image/MCY/8182285 </v>
      </c>
    </row>
    <row r="25" spans="1:12" ht="39.950000000000003" customHeight="1" x14ac:dyDescent="0.25">
      <c r="A25" s="4" t="s">
        <v>3460</v>
      </c>
      <c r="B25" s="5" t="s">
        <v>3461</v>
      </c>
      <c r="C25" s="6">
        <v>1</v>
      </c>
      <c r="D25" s="7">
        <v>39.99</v>
      </c>
      <c r="E25" s="6" t="s">
        <v>3462</v>
      </c>
      <c r="F25" s="5" t="s">
        <v>691</v>
      </c>
      <c r="G25" s="8"/>
      <c r="H25" s="5" t="s">
        <v>772</v>
      </c>
      <c r="I25" s="5" t="s">
        <v>773</v>
      </c>
      <c r="J25" s="5" t="s">
        <v>20</v>
      </c>
      <c r="K25" s="5" t="s">
        <v>2264</v>
      </c>
      <c r="L25" s="9" t="str">
        <f>HYPERLINK("http://slimages.macys.com/is/image/MCY/11607139 ")</f>
        <v xml:space="preserve">http://slimages.macys.com/is/image/MCY/11607139 </v>
      </c>
    </row>
    <row r="26" spans="1:12" ht="39.950000000000003" customHeight="1" x14ac:dyDescent="0.25">
      <c r="A26" s="4" t="s">
        <v>3463</v>
      </c>
      <c r="B26" s="5" t="s">
        <v>3464</v>
      </c>
      <c r="C26" s="6">
        <v>1</v>
      </c>
      <c r="D26" s="7">
        <v>46.99</v>
      </c>
      <c r="E26" s="6" t="s">
        <v>3465</v>
      </c>
      <c r="F26" s="5" t="s">
        <v>555</v>
      </c>
      <c r="G26" s="8" t="s">
        <v>954</v>
      </c>
      <c r="H26" s="5" t="s">
        <v>940</v>
      </c>
      <c r="I26" s="5" t="s">
        <v>1705</v>
      </c>
      <c r="J26" s="5" t="s">
        <v>20</v>
      </c>
      <c r="K26" s="5" t="s">
        <v>918</v>
      </c>
      <c r="L26" s="9" t="str">
        <f>HYPERLINK("http://slimages.macys.com/is/image/MCY/10753901 ")</f>
        <v xml:space="preserve">http://slimages.macys.com/is/image/MCY/10753901 </v>
      </c>
    </row>
    <row r="27" spans="1:12" ht="39.950000000000003" customHeight="1" x14ac:dyDescent="0.25">
      <c r="A27" s="4" t="s">
        <v>3466</v>
      </c>
      <c r="B27" s="5" t="s">
        <v>3467</v>
      </c>
      <c r="C27" s="6">
        <v>1</v>
      </c>
      <c r="D27" s="7">
        <v>50.99</v>
      </c>
      <c r="E27" s="6" t="s">
        <v>3468</v>
      </c>
      <c r="F27" s="5" t="s">
        <v>54</v>
      </c>
      <c r="G27" s="8"/>
      <c r="H27" s="5" t="s">
        <v>745</v>
      </c>
      <c r="I27" s="5" t="s">
        <v>746</v>
      </c>
      <c r="J27" s="5" t="s">
        <v>20</v>
      </c>
      <c r="K27" s="5" t="s">
        <v>396</v>
      </c>
      <c r="L27" s="9" t="str">
        <f>HYPERLINK("http://slimages.macys.com/is/image/MCY/16438540 ")</f>
        <v xml:space="preserve">http://slimages.macys.com/is/image/MCY/16438540 </v>
      </c>
    </row>
    <row r="28" spans="1:12" ht="39.950000000000003" customHeight="1" x14ac:dyDescent="0.25">
      <c r="A28" s="4" t="s">
        <v>3469</v>
      </c>
      <c r="B28" s="5" t="s">
        <v>3470</v>
      </c>
      <c r="C28" s="6">
        <v>1</v>
      </c>
      <c r="D28" s="7">
        <v>41.99</v>
      </c>
      <c r="E28" s="6" t="s">
        <v>3471</v>
      </c>
      <c r="F28" s="5" t="s">
        <v>922</v>
      </c>
      <c r="G28" s="8"/>
      <c r="H28" s="5" t="s">
        <v>718</v>
      </c>
      <c r="I28" s="5" t="s">
        <v>2778</v>
      </c>
      <c r="J28" s="5" t="s">
        <v>20</v>
      </c>
      <c r="K28" s="5" t="s">
        <v>3472</v>
      </c>
      <c r="L28" s="9" t="str">
        <f>HYPERLINK("http://slimages.macys.com/is/image/MCY/11500738 ")</f>
        <v xml:space="preserve">http://slimages.macys.com/is/image/MCY/11500738 </v>
      </c>
    </row>
    <row r="29" spans="1:12" ht="39.950000000000003" customHeight="1" x14ac:dyDescent="0.25">
      <c r="A29" s="4" t="s">
        <v>3473</v>
      </c>
      <c r="B29" s="5" t="s">
        <v>3474</v>
      </c>
      <c r="C29" s="6">
        <v>1</v>
      </c>
      <c r="D29" s="7">
        <v>49.99</v>
      </c>
      <c r="E29" s="6" t="s">
        <v>3475</v>
      </c>
      <c r="F29" s="5" t="s">
        <v>1036</v>
      </c>
      <c r="G29" s="8"/>
      <c r="H29" s="5" t="s">
        <v>831</v>
      </c>
      <c r="I29" s="5" t="s">
        <v>832</v>
      </c>
      <c r="J29" s="5" t="s">
        <v>20</v>
      </c>
      <c r="K29" s="5" t="s">
        <v>396</v>
      </c>
      <c r="L29" s="9" t="str">
        <f>HYPERLINK("http://slimages.macys.com/is/image/MCY/2815828 ")</f>
        <v xml:space="preserve">http://slimages.macys.com/is/image/MCY/2815828 </v>
      </c>
    </row>
    <row r="30" spans="1:12" ht="39.950000000000003" customHeight="1" x14ac:dyDescent="0.25">
      <c r="A30" s="4" t="s">
        <v>3476</v>
      </c>
      <c r="B30" s="5" t="s">
        <v>3477</v>
      </c>
      <c r="C30" s="6">
        <v>1</v>
      </c>
      <c r="D30" s="7">
        <v>94.99</v>
      </c>
      <c r="E30" s="6" t="s">
        <v>3478</v>
      </c>
      <c r="F30" s="5" t="s">
        <v>89</v>
      </c>
      <c r="G30" s="8" t="s">
        <v>945</v>
      </c>
      <c r="H30" s="5" t="s">
        <v>707</v>
      </c>
      <c r="I30" s="5" t="s">
        <v>730</v>
      </c>
      <c r="J30" s="5" t="s">
        <v>20</v>
      </c>
      <c r="K30" s="5" t="s">
        <v>846</v>
      </c>
      <c r="L30" s="9" t="str">
        <f>HYPERLINK("http://slimages.macys.com/is/image/MCY/8182285 ")</f>
        <v xml:space="preserve">http://slimages.macys.com/is/image/MCY/8182285 </v>
      </c>
    </row>
    <row r="31" spans="1:12" ht="39.950000000000003" customHeight="1" x14ac:dyDescent="0.25">
      <c r="A31" s="4" t="s">
        <v>3479</v>
      </c>
      <c r="B31" s="5" t="s">
        <v>3480</v>
      </c>
      <c r="C31" s="6">
        <v>1</v>
      </c>
      <c r="D31" s="7">
        <v>44.99</v>
      </c>
      <c r="E31" s="6" t="s">
        <v>3481</v>
      </c>
      <c r="F31" s="5" t="s">
        <v>483</v>
      </c>
      <c r="G31" s="8"/>
      <c r="H31" s="5" t="s">
        <v>745</v>
      </c>
      <c r="I31" s="5" t="s">
        <v>832</v>
      </c>
      <c r="J31" s="5" t="s">
        <v>20</v>
      </c>
      <c r="K31" s="5"/>
      <c r="L31" s="9" t="str">
        <f>HYPERLINK("http://slimages.macys.com/is/image/MCY/8424291 ")</f>
        <v xml:space="preserve">http://slimages.macys.com/is/image/MCY/8424291 </v>
      </c>
    </row>
    <row r="32" spans="1:12" ht="39.950000000000003" customHeight="1" x14ac:dyDescent="0.25">
      <c r="A32" s="4" t="s">
        <v>3482</v>
      </c>
      <c r="B32" s="5" t="s">
        <v>3483</v>
      </c>
      <c r="C32" s="6">
        <v>1</v>
      </c>
      <c r="D32" s="7">
        <v>39.99</v>
      </c>
      <c r="E32" s="6" t="s">
        <v>3484</v>
      </c>
      <c r="F32" s="5" t="s">
        <v>394</v>
      </c>
      <c r="G32" s="8"/>
      <c r="H32" s="5" t="s">
        <v>865</v>
      </c>
      <c r="I32" s="5" t="s">
        <v>746</v>
      </c>
      <c r="J32" s="5" t="s">
        <v>20</v>
      </c>
      <c r="K32" s="5" t="s">
        <v>798</v>
      </c>
      <c r="L32" s="9" t="str">
        <f>HYPERLINK("http://slimages.macys.com/is/image/MCY/10082204 ")</f>
        <v xml:space="preserve">http://slimages.macys.com/is/image/MCY/10082204 </v>
      </c>
    </row>
    <row r="33" spans="1:12" ht="39.950000000000003" customHeight="1" x14ac:dyDescent="0.25">
      <c r="A33" s="4" t="s">
        <v>3485</v>
      </c>
      <c r="B33" s="5" t="s">
        <v>3486</v>
      </c>
      <c r="C33" s="6">
        <v>1</v>
      </c>
      <c r="D33" s="7">
        <v>29.99</v>
      </c>
      <c r="E33" s="6" t="s">
        <v>3487</v>
      </c>
      <c r="F33" s="5" t="s">
        <v>610</v>
      </c>
      <c r="G33" s="8"/>
      <c r="H33" s="5" t="s">
        <v>734</v>
      </c>
      <c r="I33" s="5" t="s">
        <v>1492</v>
      </c>
      <c r="J33" s="5" t="s">
        <v>20</v>
      </c>
      <c r="K33" s="5" t="s">
        <v>396</v>
      </c>
      <c r="L33" s="9" t="str">
        <f>HYPERLINK("http://slimages.macys.com/is/image/MCY/15729767 ")</f>
        <v xml:space="preserve">http://slimages.macys.com/is/image/MCY/15729767 </v>
      </c>
    </row>
    <row r="34" spans="1:12" ht="39.950000000000003" customHeight="1" x14ac:dyDescent="0.25">
      <c r="A34" s="4" t="s">
        <v>3488</v>
      </c>
      <c r="B34" s="5" t="s">
        <v>3489</v>
      </c>
      <c r="C34" s="6">
        <v>1</v>
      </c>
      <c r="D34" s="7">
        <v>59.99</v>
      </c>
      <c r="E34" s="6">
        <v>10006941100</v>
      </c>
      <c r="F34" s="5" t="s">
        <v>89</v>
      </c>
      <c r="G34" s="8"/>
      <c r="H34" s="5" t="s">
        <v>707</v>
      </c>
      <c r="I34" s="5" t="s">
        <v>708</v>
      </c>
      <c r="J34" s="5" t="s">
        <v>20</v>
      </c>
      <c r="K34" s="5" t="s">
        <v>330</v>
      </c>
      <c r="L34" s="9" t="str">
        <f>HYPERLINK("http://slimages.macys.com/is/image/MCY/14788493 ")</f>
        <v xml:space="preserve">http://slimages.macys.com/is/image/MCY/14788493 </v>
      </c>
    </row>
    <row r="35" spans="1:12" ht="39.950000000000003" customHeight="1" x14ac:dyDescent="0.25">
      <c r="A35" s="4" t="s">
        <v>3490</v>
      </c>
      <c r="B35" s="5" t="s">
        <v>3491</v>
      </c>
      <c r="C35" s="6">
        <v>1</v>
      </c>
      <c r="D35" s="7">
        <v>33.99</v>
      </c>
      <c r="E35" s="6">
        <v>50534</v>
      </c>
      <c r="F35" s="5" t="s">
        <v>206</v>
      </c>
      <c r="G35" s="8"/>
      <c r="H35" s="5" t="s">
        <v>745</v>
      </c>
      <c r="I35" s="5" t="s">
        <v>1630</v>
      </c>
      <c r="J35" s="5" t="s">
        <v>20</v>
      </c>
      <c r="K35" s="5" t="s">
        <v>396</v>
      </c>
      <c r="L35" s="9" t="str">
        <f>HYPERLINK("http://slimages.macys.com/is/image/MCY/14663512 ")</f>
        <v xml:space="preserve">http://slimages.macys.com/is/image/MCY/14663512 </v>
      </c>
    </row>
    <row r="36" spans="1:12" ht="39.950000000000003" customHeight="1" x14ac:dyDescent="0.25">
      <c r="A36" s="4" t="s">
        <v>3120</v>
      </c>
      <c r="B36" s="5" t="s">
        <v>3121</v>
      </c>
      <c r="C36" s="6">
        <v>1</v>
      </c>
      <c r="D36" s="7">
        <v>39.99</v>
      </c>
      <c r="E36" s="6">
        <v>70114</v>
      </c>
      <c r="F36" s="5" t="s">
        <v>89</v>
      </c>
      <c r="G36" s="8"/>
      <c r="H36" s="5" t="s">
        <v>782</v>
      </c>
      <c r="I36" s="5" t="s">
        <v>835</v>
      </c>
      <c r="J36" s="5" t="s">
        <v>20</v>
      </c>
      <c r="K36" s="5" t="s">
        <v>836</v>
      </c>
      <c r="L36" s="9" t="str">
        <f>HYPERLINK("http://slimages.macys.com/is/image/MCY/16080633 ")</f>
        <v xml:space="preserve">http://slimages.macys.com/is/image/MCY/16080633 </v>
      </c>
    </row>
    <row r="37" spans="1:12" ht="39.950000000000003" customHeight="1" x14ac:dyDescent="0.25">
      <c r="A37" s="4" t="s">
        <v>3492</v>
      </c>
      <c r="B37" s="5" t="s">
        <v>3493</v>
      </c>
      <c r="C37" s="6">
        <v>1</v>
      </c>
      <c r="D37" s="7">
        <v>21.99</v>
      </c>
      <c r="E37" s="6" t="s">
        <v>3494</v>
      </c>
      <c r="F37" s="5" t="s">
        <v>289</v>
      </c>
      <c r="G37" s="8" t="s">
        <v>17</v>
      </c>
      <c r="H37" s="5" t="s">
        <v>765</v>
      </c>
      <c r="I37" s="5" t="s">
        <v>1722</v>
      </c>
      <c r="J37" s="5" t="s">
        <v>20</v>
      </c>
      <c r="K37" s="5" t="s">
        <v>936</v>
      </c>
      <c r="L37" s="9" t="str">
        <f>HYPERLINK("http://slimages.macys.com/is/image/MCY/16276114 ")</f>
        <v xml:space="preserve">http://slimages.macys.com/is/image/MCY/16276114 </v>
      </c>
    </row>
    <row r="38" spans="1:12" ht="39.950000000000003" customHeight="1" x14ac:dyDescent="0.25">
      <c r="A38" s="4" t="s">
        <v>3495</v>
      </c>
      <c r="B38" s="5" t="s">
        <v>3496</v>
      </c>
      <c r="C38" s="6">
        <v>2</v>
      </c>
      <c r="D38" s="7">
        <v>139.97999999999999</v>
      </c>
      <c r="E38" s="6" t="s">
        <v>3497</v>
      </c>
      <c r="F38" s="5" t="s">
        <v>744</v>
      </c>
      <c r="G38" s="8" t="s">
        <v>1065</v>
      </c>
      <c r="H38" s="5" t="s">
        <v>707</v>
      </c>
      <c r="I38" s="5" t="s">
        <v>1868</v>
      </c>
      <c r="J38" s="5"/>
      <c r="K38" s="5"/>
      <c r="L38" s="9" t="str">
        <f>HYPERLINK("http://slimages.macys.com/is/image/MCY/18173100 ")</f>
        <v xml:space="preserve">http://slimages.macys.com/is/image/MCY/18173100 </v>
      </c>
    </row>
    <row r="39" spans="1:12" ht="39.950000000000003" customHeight="1" x14ac:dyDescent="0.25">
      <c r="A39" s="4" t="s">
        <v>3498</v>
      </c>
      <c r="B39" s="5" t="s">
        <v>3499</v>
      </c>
      <c r="C39" s="6">
        <v>1</v>
      </c>
      <c r="D39" s="7">
        <v>29.99</v>
      </c>
      <c r="E39" s="6" t="s">
        <v>3500</v>
      </c>
      <c r="F39" s="5" t="s">
        <v>89</v>
      </c>
      <c r="G39" s="8" t="s">
        <v>845</v>
      </c>
      <c r="H39" s="5" t="s">
        <v>1157</v>
      </c>
      <c r="I39" s="5" t="s">
        <v>1158</v>
      </c>
      <c r="J39" s="5" t="s">
        <v>20</v>
      </c>
      <c r="K39" s="5"/>
      <c r="L39" s="9" t="str">
        <f>HYPERLINK("http://slimages.macys.com/is/image/MCY/9356828 ")</f>
        <v xml:space="preserve">http://slimages.macys.com/is/image/MCY/9356828 </v>
      </c>
    </row>
    <row r="40" spans="1:12" ht="39.950000000000003" customHeight="1" x14ac:dyDescent="0.25">
      <c r="A40" s="4" t="s">
        <v>3501</v>
      </c>
      <c r="B40" s="5" t="s">
        <v>3502</v>
      </c>
      <c r="C40" s="6">
        <v>1</v>
      </c>
      <c r="D40" s="7">
        <v>23.99</v>
      </c>
      <c r="E40" s="6" t="s">
        <v>3503</v>
      </c>
      <c r="F40" s="5" t="s">
        <v>78</v>
      </c>
      <c r="G40" s="8"/>
      <c r="H40" s="5" t="s">
        <v>718</v>
      </c>
      <c r="I40" s="5" t="s">
        <v>906</v>
      </c>
      <c r="J40" s="5" t="s">
        <v>20</v>
      </c>
      <c r="K40" s="5" t="s">
        <v>3504</v>
      </c>
      <c r="L40" s="9" t="str">
        <f>HYPERLINK("http://slimages.macys.com/is/image/MCY/12678109 ")</f>
        <v xml:space="preserve">http://slimages.macys.com/is/image/MCY/12678109 </v>
      </c>
    </row>
    <row r="41" spans="1:12" ht="39.950000000000003" customHeight="1" x14ac:dyDescent="0.25">
      <c r="A41" s="4" t="s">
        <v>3505</v>
      </c>
      <c r="B41" s="5" t="s">
        <v>3506</v>
      </c>
      <c r="C41" s="6">
        <v>1</v>
      </c>
      <c r="D41" s="7">
        <v>25.99</v>
      </c>
      <c r="E41" s="6">
        <v>50517</v>
      </c>
      <c r="F41" s="5" t="s">
        <v>1121</v>
      </c>
      <c r="G41" s="8"/>
      <c r="H41" s="5" t="s">
        <v>745</v>
      </c>
      <c r="I41" s="5" t="s">
        <v>1630</v>
      </c>
      <c r="J41" s="5" t="s">
        <v>20</v>
      </c>
      <c r="K41" s="5" t="s">
        <v>396</v>
      </c>
      <c r="L41" s="9" t="str">
        <f>HYPERLINK("http://slimages.macys.com/is/image/MCY/14663345 ")</f>
        <v xml:space="preserve">http://slimages.macys.com/is/image/MCY/14663345 </v>
      </c>
    </row>
    <row r="42" spans="1:12" ht="39.950000000000003" customHeight="1" x14ac:dyDescent="0.25">
      <c r="A42" s="4" t="s">
        <v>3507</v>
      </c>
      <c r="B42" s="5" t="s">
        <v>3508</v>
      </c>
      <c r="C42" s="6">
        <v>1</v>
      </c>
      <c r="D42" s="7">
        <v>69.989999999999995</v>
      </c>
      <c r="E42" s="6" t="s">
        <v>3509</v>
      </c>
      <c r="F42" s="5" t="s">
        <v>89</v>
      </c>
      <c r="G42" s="8"/>
      <c r="H42" s="5" t="s">
        <v>707</v>
      </c>
      <c r="I42" s="5" t="s">
        <v>730</v>
      </c>
      <c r="J42" s="5" t="s">
        <v>20</v>
      </c>
      <c r="K42" s="5" t="s">
        <v>2264</v>
      </c>
      <c r="L42" s="9" t="str">
        <f>HYPERLINK("http://slimages.macys.com/is/image/MCY/8157179 ")</f>
        <v xml:space="preserve">http://slimages.macys.com/is/image/MCY/8157179 </v>
      </c>
    </row>
    <row r="43" spans="1:12" ht="39.950000000000003" customHeight="1" x14ac:dyDescent="0.25">
      <c r="A43" s="4" t="s">
        <v>3510</v>
      </c>
      <c r="B43" s="5" t="s">
        <v>3511</v>
      </c>
      <c r="C43" s="6">
        <v>1</v>
      </c>
      <c r="D43" s="7">
        <v>20.99</v>
      </c>
      <c r="E43" s="6">
        <v>53473</v>
      </c>
      <c r="F43" s="5" t="s">
        <v>16</v>
      </c>
      <c r="G43" s="8"/>
      <c r="H43" s="5" t="s">
        <v>745</v>
      </c>
      <c r="I43" s="5" t="s">
        <v>1630</v>
      </c>
      <c r="J43" s="5" t="s">
        <v>20</v>
      </c>
      <c r="K43" s="5"/>
      <c r="L43" s="9" t="str">
        <f>HYPERLINK("http://slimages.macys.com/is/image/MCY/9972679 ")</f>
        <v xml:space="preserve">http://slimages.macys.com/is/image/MCY/9972679 </v>
      </c>
    </row>
    <row r="44" spans="1:12" ht="39.950000000000003" customHeight="1" x14ac:dyDescent="0.25">
      <c r="A44" s="4" t="s">
        <v>3512</v>
      </c>
      <c r="B44" s="5" t="s">
        <v>3513</v>
      </c>
      <c r="C44" s="6">
        <v>1</v>
      </c>
      <c r="D44" s="7">
        <v>19.989999999999998</v>
      </c>
      <c r="E44" s="6" t="s">
        <v>3514</v>
      </c>
      <c r="F44" s="5" t="s">
        <v>1772</v>
      </c>
      <c r="G44" s="8"/>
      <c r="H44" s="5" t="s">
        <v>718</v>
      </c>
      <c r="I44" s="5" t="s">
        <v>1624</v>
      </c>
      <c r="J44" s="5"/>
      <c r="K44" s="5"/>
      <c r="L44" s="9" t="str">
        <f>HYPERLINK("http://slimages.macys.com/is/image/MCY/17923602 ")</f>
        <v xml:space="preserve">http://slimages.macys.com/is/image/MCY/17923602 </v>
      </c>
    </row>
    <row r="45" spans="1:12" ht="39.950000000000003" customHeight="1" x14ac:dyDescent="0.25">
      <c r="A45" s="4" t="s">
        <v>3515</v>
      </c>
      <c r="B45" s="5" t="s">
        <v>3516</v>
      </c>
      <c r="C45" s="6">
        <v>1</v>
      </c>
      <c r="D45" s="7">
        <v>44.99</v>
      </c>
      <c r="E45" s="6" t="s">
        <v>3517</v>
      </c>
      <c r="F45" s="5" t="s">
        <v>89</v>
      </c>
      <c r="G45" s="8"/>
      <c r="H45" s="5" t="s">
        <v>772</v>
      </c>
      <c r="I45" s="5" t="s">
        <v>773</v>
      </c>
      <c r="J45" s="5" t="s">
        <v>20</v>
      </c>
      <c r="K45" s="5" t="s">
        <v>1052</v>
      </c>
      <c r="L45" s="9" t="str">
        <f>HYPERLINK("http://slimages.macys.com/is/image/MCY/8433239 ")</f>
        <v xml:space="preserve">http://slimages.macys.com/is/image/MCY/8433239 </v>
      </c>
    </row>
    <row r="46" spans="1:12" ht="39.950000000000003" customHeight="1" x14ac:dyDescent="0.25">
      <c r="A46" s="4" t="s">
        <v>3518</v>
      </c>
      <c r="B46" s="5" t="s">
        <v>3519</v>
      </c>
      <c r="C46" s="6">
        <v>1</v>
      </c>
      <c r="D46" s="7">
        <v>12.99</v>
      </c>
      <c r="E46" s="6" t="s">
        <v>3520</v>
      </c>
      <c r="F46" s="5" t="s">
        <v>691</v>
      </c>
      <c r="G46" s="8" t="s">
        <v>1179</v>
      </c>
      <c r="H46" s="5" t="s">
        <v>940</v>
      </c>
      <c r="I46" s="5" t="s">
        <v>3521</v>
      </c>
      <c r="J46" s="5" t="s">
        <v>20</v>
      </c>
      <c r="K46" s="5"/>
      <c r="L46" s="9" t="str">
        <f>HYPERLINK("http://slimages.macys.com/is/image/MCY/8517958 ")</f>
        <v xml:space="preserve">http://slimages.macys.com/is/image/MCY/8517958 </v>
      </c>
    </row>
    <row r="47" spans="1:12" ht="39.950000000000003" customHeight="1" x14ac:dyDescent="0.25">
      <c r="A47" s="4" t="s">
        <v>3522</v>
      </c>
      <c r="B47" s="5" t="s">
        <v>3523</v>
      </c>
      <c r="C47" s="6">
        <v>1</v>
      </c>
      <c r="D47" s="7">
        <v>10.99</v>
      </c>
      <c r="E47" s="6" t="s">
        <v>3524</v>
      </c>
      <c r="F47" s="5" t="s">
        <v>89</v>
      </c>
      <c r="G47" s="8"/>
      <c r="H47" s="5" t="s">
        <v>782</v>
      </c>
      <c r="I47" s="5" t="s">
        <v>3369</v>
      </c>
      <c r="J47" s="5"/>
      <c r="K47" s="5"/>
      <c r="L47" s="9" t="str">
        <f>HYPERLINK("http://slimages.macys.com/is/image/MCY/17541714 ")</f>
        <v xml:space="preserve">http://slimages.macys.com/is/image/MCY/17541714 </v>
      </c>
    </row>
    <row r="48" spans="1:12" ht="39.950000000000003" customHeight="1" x14ac:dyDescent="0.25">
      <c r="A48" s="4" t="s">
        <v>3525</v>
      </c>
      <c r="B48" s="5" t="s">
        <v>3526</v>
      </c>
      <c r="C48" s="6">
        <v>1</v>
      </c>
      <c r="D48" s="7">
        <v>9.99</v>
      </c>
      <c r="E48" s="6" t="s">
        <v>3527</v>
      </c>
      <c r="F48" s="5"/>
      <c r="G48" s="8"/>
      <c r="H48" s="5" t="s">
        <v>865</v>
      </c>
      <c r="I48" s="5" t="s">
        <v>2043</v>
      </c>
      <c r="J48" s="5"/>
      <c r="K48" s="5"/>
      <c r="L48" s="9" t="str">
        <f>HYPERLINK("http://slimages.macys.com/is/image/MCY/18744517 ")</f>
        <v xml:space="preserve">http://slimages.macys.com/is/image/MCY/18744517 </v>
      </c>
    </row>
    <row r="49" spans="1:12" ht="39.950000000000003" customHeight="1" x14ac:dyDescent="0.25">
      <c r="A49" s="4" t="s">
        <v>3528</v>
      </c>
      <c r="B49" s="5" t="s">
        <v>3529</v>
      </c>
      <c r="C49" s="6">
        <v>1</v>
      </c>
      <c r="D49" s="7">
        <v>3.99</v>
      </c>
      <c r="E49" s="6" t="s">
        <v>3530</v>
      </c>
      <c r="F49" s="5" t="s">
        <v>206</v>
      </c>
      <c r="G49" s="8"/>
      <c r="H49" s="5" t="s">
        <v>940</v>
      </c>
      <c r="I49" s="5" t="s">
        <v>1640</v>
      </c>
      <c r="J49" s="5"/>
      <c r="K49" s="5"/>
      <c r="L49" s="9" t="str">
        <f>HYPERLINK("http://slimages.macys.com/is/image/MCY/18576099 ")</f>
        <v xml:space="preserve">http://slimages.macys.com/is/image/MCY/18576099 </v>
      </c>
    </row>
    <row r="50" spans="1:12" ht="39.950000000000003" customHeight="1" x14ac:dyDescent="0.25">
      <c r="A50" s="4" t="s">
        <v>2058</v>
      </c>
      <c r="B50" s="5" t="s">
        <v>2059</v>
      </c>
      <c r="C50" s="6">
        <v>1</v>
      </c>
      <c r="D50" s="7">
        <v>279.99</v>
      </c>
      <c r="E50" s="6" t="s">
        <v>2060</v>
      </c>
      <c r="F50" s="5" t="s">
        <v>555</v>
      </c>
      <c r="G50" s="8"/>
      <c r="H50" s="5" t="s">
        <v>707</v>
      </c>
      <c r="I50" s="5" t="s">
        <v>874</v>
      </c>
      <c r="J50" s="5"/>
      <c r="K50" s="5"/>
      <c r="L50" s="9"/>
    </row>
    <row r="51" spans="1:12" ht="39.950000000000003" customHeight="1" x14ac:dyDescent="0.25">
      <c r="A51" s="4" t="s">
        <v>3531</v>
      </c>
      <c r="B51" s="5" t="s">
        <v>3532</v>
      </c>
      <c r="C51" s="6">
        <v>1</v>
      </c>
      <c r="D51" s="7">
        <v>149.99</v>
      </c>
      <c r="E51" s="6" t="s">
        <v>3533</v>
      </c>
      <c r="F51" s="5" t="s">
        <v>274</v>
      </c>
      <c r="G51" s="8"/>
      <c r="H51" s="5" t="s">
        <v>745</v>
      </c>
      <c r="I51" s="5" t="s">
        <v>760</v>
      </c>
      <c r="J51" s="5"/>
      <c r="K51" s="5"/>
      <c r="L51" s="9"/>
    </row>
    <row r="52" spans="1:12" ht="39.950000000000003" customHeight="1" x14ac:dyDescent="0.25">
      <c r="A52" s="4" t="s">
        <v>3534</v>
      </c>
      <c r="B52" s="5" t="s">
        <v>3535</v>
      </c>
      <c r="C52" s="6">
        <v>1</v>
      </c>
      <c r="D52" s="7">
        <v>119.99</v>
      </c>
      <c r="E52" s="6" t="s">
        <v>3536</v>
      </c>
      <c r="F52" s="5" t="s">
        <v>89</v>
      </c>
      <c r="G52" s="8"/>
      <c r="H52" s="5" t="s">
        <v>772</v>
      </c>
      <c r="I52" s="5" t="s">
        <v>3537</v>
      </c>
      <c r="J52" s="5"/>
      <c r="K52" s="5"/>
      <c r="L52" s="9"/>
    </row>
    <row r="53" spans="1:12" ht="39.950000000000003" customHeight="1" x14ac:dyDescent="0.25">
      <c r="A53" s="4" t="s">
        <v>1019</v>
      </c>
      <c r="B53" s="5" t="s">
        <v>694</v>
      </c>
      <c r="C53" s="6">
        <v>6</v>
      </c>
      <c r="D53" s="7">
        <v>240</v>
      </c>
      <c r="E53" s="6"/>
      <c r="F53" s="5" t="s">
        <v>16</v>
      </c>
      <c r="G53" s="8" t="s">
        <v>17</v>
      </c>
      <c r="H53" s="5" t="s">
        <v>695</v>
      </c>
      <c r="I53" s="5" t="s">
        <v>696</v>
      </c>
      <c r="J53" s="5"/>
      <c r="K53" s="5"/>
      <c r="L53" s="9"/>
    </row>
    <row r="54" spans="1:12" ht="39.950000000000003" customHeight="1" x14ac:dyDescent="0.25">
      <c r="A54" s="4" t="s">
        <v>3538</v>
      </c>
      <c r="B54" s="5" t="s">
        <v>3539</v>
      </c>
      <c r="C54" s="6">
        <v>1</v>
      </c>
      <c r="D54" s="7">
        <v>19.989999999999998</v>
      </c>
      <c r="E54" s="6" t="s">
        <v>3540</v>
      </c>
      <c r="F54" s="5" t="s">
        <v>600</v>
      </c>
      <c r="G54" s="8" t="s">
        <v>3541</v>
      </c>
      <c r="H54" s="5" t="s">
        <v>718</v>
      </c>
      <c r="I54" s="5" t="s">
        <v>1956</v>
      </c>
      <c r="J54" s="5"/>
      <c r="K54" s="5"/>
      <c r="L54" s="9"/>
    </row>
    <row r="55" spans="1:12" ht="39.950000000000003" customHeight="1" x14ac:dyDescent="0.25">
      <c r="A55" s="4" t="s">
        <v>3542</v>
      </c>
      <c r="B55" s="5" t="s">
        <v>3543</v>
      </c>
      <c r="C55" s="6">
        <v>1</v>
      </c>
      <c r="D55" s="7">
        <v>12.99</v>
      </c>
      <c r="E55" s="6" t="s">
        <v>3544</v>
      </c>
      <c r="F55" s="5" t="s">
        <v>89</v>
      </c>
      <c r="G55" s="8" t="s">
        <v>1012</v>
      </c>
      <c r="H55" s="5" t="s">
        <v>916</v>
      </c>
      <c r="I55" s="5" t="s">
        <v>2475</v>
      </c>
      <c r="J55" s="5"/>
      <c r="K55" s="5"/>
      <c r="L55" s="9"/>
    </row>
    <row r="56" spans="1:12" ht="39.950000000000003" customHeight="1" x14ac:dyDescent="0.25">
      <c r="A56" s="4"/>
      <c r="B56" s="5"/>
      <c r="C56" s="6"/>
      <c r="D56" s="7"/>
      <c r="E56" s="6"/>
      <c r="F56" s="5"/>
      <c r="G56" s="8"/>
      <c r="H56" s="5"/>
      <c r="I56" s="5"/>
      <c r="J56" s="5"/>
      <c r="K56" s="5"/>
      <c r="L56" s="9"/>
    </row>
    <row r="65" ht="39.950000000000003" customHeight="1" x14ac:dyDescent="0.25"/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5"/>
  <sheetViews>
    <sheetView workbookViewId="0"/>
  </sheetViews>
  <sheetFormatPr defaultRowHeight="15" x14ac:dyDescent="0.25"/>
  <cols>
    <col min="1" max="1" width="14.28515625" customWidth="1"/>
    <col min="2" max="2" width="22.28515625" customWidth="1"/>
    <col min="3" max="3" width="15" customWidth="1"/>
    <col min="4" max="4" width="10.28515625" customWidth="1"/>
    <col min="5" max="5" width="17.140625" customWidth="1"/>
    <col min="6" max="6" width="11.42578125" customWidth="1"/>
    <col min="7" max="7" width="10.85546875" customWidth="1"/>
    <col min="8" max="8" width="12.140625" customWidth="1"/>
    <col min="9" max="9" width="36.5703125" bestFit="1" customWidth="1"/>
    <col min="10" max="11" width="20.7109375" customWidth="1"/>
    <col min="12" max="12" width="64.28515625" customWidth="1"/>
  </cols>
  <sheetData>
    <row r="1" spans="1:12" ht="39.950000000000003" customHeight="1" x14ac:dyDescent="0.25">
      <c r="A1" s="3" t="s">
        <v>2</v>
      </c>
      <c r="B1" s="3" t="s">
        <v>3</v>
      </c>
      <c r="C1" s="3" t="s">
        <v>4</v>
      </c>
      <c r="D1" s="3" t="s">
        <v>5</v>
      </c>
      <c r="E1" s="3" t="s">
        <v>6</v>
      </c>
      <c r="F1" s="3" t="s">
        <v>7</v>
      </c>
      <c r="G1" s="3" t="s">
        <v>8</v>
      </c>
      <c r="H1" s="3" t="s">
        <v>9</v>
      </c>
      <c r="I1" s="3" t="s">
        <v>10</v>
      </c>
      <c r="J1" s="3" t="s">
        <v>11</v>
      </c>
      <c r="K1" s="3" t="s">
        <v>12</v>
      </c>
      <c r="L1" s="3" t="s">
        <v>13</v>
      </c>
    </row>
    <row r="2" spans="1:12" ht="39.950000000000003" customHeight="1" x14ac:dyDescent="0.25">
      <c r="A2" s="4" t="s">
        <v>3545</v>
      </c>
      <c r="B2" s="5" t="s">
        <v>3546</v>
      </c>
      <c r="C2" s="6">
        <v>1</v>
      </c>
      <c r="D2" s="7">
        <v>339.99</v>
      </c>
      <c r="E2" s="6" t="s">
        <v>3547</v>
      </c>
      <c r="F2" s="5" t="s">
        <v>89</v>
      </c>
      <c r="G2" s="8" t="s">
        <v>1486</v>
      </c>
      <c r="H2" s="5" t="s">
        <v>1854</v>
      </c>
      <c r="I2" s="5" t="s">
        <v>725</v>
      </c>
      <c r="J2" s="5" t="s">
        <v>20</v>
      </c>
      <c r="K2" s="5" t="s">
        <v>3548</v>
      </c>
      <c r="L2" s="9" t="str">
        <f>HYPERLINK("http://slimages.macys.com/is/image/MCY/3969345 ")</f>
        <v xml:space="preserve">http://slimages.macys.com/is/image/MCY/3969345 </v>
      </c>
    </row>
    <row r="3" spans="1:12" ht="39.950000000000003" customHeight="1" x14ac:dyDescent="0.25">
      <c r="A3" s="4" t="s">
        <v>3549</v>
      </c>
      <c r="B3" s="5" t="s">
        <v>3550</v>
      </c>
      <c r="C3" s="6">
        <v>2</v>
      </c>
      <c r="D3" s="7">
        <v>410</v>
      </c>
      <c r="E3" s="6">
        <v>8051275258681</v>
      </c>
      <c r="F3" s="5" t="s">
        <v>78</v>
      </c>
      <c r="G3" s="8"/>
      <c r="H3" s="5" t="s">
        <v>712</v>
      </c>
      <c r="I3" s="5" t="s">
        <v>3551</v>
      </c>
      <c r="J3" s="5" t="s">
        <v>670</v>
      </c>
      <c r="K3" s="5" t="s">
        <v>330</v>
      </c>
      <c r="L3" s="9" t="str">
        <f>HYPERLINK("http://images.bloomingdales.com/is/image/BLM/9728719 ")</f>
        <v xml:space="preserve">http://images.bloomingdales.com/is/image/BLM/9728719 </v>
      </c>
    </row>
    <row r="4" spans="1:12" ht="39.950000000000003" customHeight="1" x14ac:dyDescent="0.25">
      <c r="A4" s="4" t="s">
        <v>3552</v>
      </c>
      <c r="B4" s="5" t="s">
        <v>3553</v>
      </c>
      <c r="C4" s="6">
        <v>1</v>
      </c>
      <c r="D4" s="7">
        <v>159.99</v>
      </c>
      <c r="E4" s="6" t="s">
        <v>3554</v>
      </c>
      <c r="F4" s="5" t="s">
        <v>685</v>
      </c>
      <c r="G4" s="8"/>
      <c r="H4" s="5" t="s">
        <v>831</v>
      </c>
      <c r="I4" s="5" t="s">
        <v>1669</v>
      </c>
      <c r="J4" s="5" t="s">
        <v>20</v>
      </c>
      <c r="K4" s="5" t="s">
        <v>1493</v>
      </c>
      <c r="L4" s="9" t="str">
        <f>HYPERLINK("http://slimages.macys.com/is/image/MCY/15135573 ")</f>
        <v xml:space="preserve">http://slimages.macys.com/is/image/MCY/15135573 </v>
      </c>
    </row>
    <row r="5" spans="1:12" ht="39.950000000000003" customHeight="1" x14ac:dyDescent="0.25">
      <c r="A5" s="4" t="s">
        <v>1858</v>
      </c>
      <c r="B5" s="5" t="s">
        <v>1859</v>
      </c>
      <c r="C5" s="6">
        <v>1</v>
      </c>
      <c r="D5" s="7">
        <v>249.99</v>
      </c>
      <c r="E5" s="6" t="s">
        <v>1860</v>
      </c>
      <c r="F5" s="5" t="s">
        <v>89</v>
      </c>
      <c r="G5" s="8"/>
      <c r="H5" s="5" t="s">
        <v>707</v>
      </c>
      <c r="I5" s="5" t="s">
        <v>874</v>
      </c>
      <c r="J5" s="5"/>
      <c r="K5" s="5"/>
      <c r="L5" s="9" t="str">
        <f>HYPERLINK("http://slimages.macys.com/is/image/MCY/18173132 ")</f>
        <v xml:space="preserve">http://slimages.macys.com/is/image/MCY/18173132 </v>
      </c>
    </row>
    <row r="6" spans="1:12" ht="39.950000000000003" customHeight="1" x14ac:dyDescent="0.25">
      <c r="A6" s="4" t="s">
        <v>3555</v>
      </c>
      <c r="B6" s="5" t="s">
        <v>3556</v>
      </c>
      <c r="C6" s="6">
        <v>1</v>
      </c>
      <c r="D6" s="7">
        <v>189.99</v>
      </c>
      <c r="E6" s="6">
        <v>21005121</v>
      </c>
      <c r="F6" s="5" t="s">
        <v>555</v>
      </c>
      <c r="G6" s="8"/>
      <c r="H6" s="5" t="s">
        <v>734</v>
      </c>
      <c r="I6" s="5" t="s">
        <v>941</v>
      </c>
      <c r="J6" s="5" t="s">
        <v>20</v>
      </c>
      <c r="K6" s="5" t="s">
        <v>3557</v>
      </c>
      <c r="L6" s="9" t="str">
        <f>HYPERLINK("http://slimages.macys.com/is/image/MCY/16429809 ")</f>
        <v xml:space="preserve">http://slimages.macys.com/is/image/MCY/16429809 </v>
      </c>
    </row>
    <row r="7" spans="1:12" ht="39.950000000000003" customHeight="1" x14ac:dyDescent="0.25">
      <c r="A7" s="4" t="s">
        <v>3558</v>
      </c>
      <c r="B7" s="5" t="s">
        <v>3559</v>
      </c>
      <c r="C7" s="6">
        <v>1</v>
      </c>
      <c r="D7" s="7">
        <v>199.99</v>
      </c>
      <c r="E7" s="6" t="s">
        <v>3560</v>
      </c>
      <c r="F7" s="5" t="s">
        <v>89</v>
      </c>
      <c r="G7" s="8"/>
      <c r="H7" s="5" t="s">
        <v>1854</v>
      </c>
      <c r="I7" s="5" t="s">
        <v>1066</v>
      </c>
      <c r="J7" s="5" t="s">
        <v>1067</v>
      </c>
      <c r="K7" s="5" t="s">
        <v>1855</v>
      </c>
      <c r="L7" s="9" t="str">
        <f>HYPERLINK("http://slimages.macys.com/is/image/MCY/3962568 ")</f>
        <v xml:space="preserve">http://slimages.macys.com/is/image/MCY/3962568 </v>
      </c>
    </row>
    <row r="8" spans="1:12" ht="39.950000000000003" customHeight="1" x14ac:dyDescent="0.25">
      <c r="A8" s="4" t="s">
        <v>3561</v>
      </c>
      <c r="B8" s="5" t="s">
        <v>3562</v>
      </c>
      <c r="C8" s="6">
        <v>1</v>
      </c>
      <c r="D8" s="7">
        <v>189.99</v>
      </c>
      <c r="E8" s="6" t="s">
        <v>3563</v>
      </c>
      <c r="F8" s="5" t="s">
        <v>89</v>
      </c>
      <c r="G8" s="8" t="s">
        <v>1486</v>
      </c>
      <c r="H8" s="5" t="s">
        <v>1854</v>
      </c>
      <c r="I8" s="5" t="s">
        <v>1709</v>
      </c>
      <c r="J8" s="5" t="s">
        <v>20</v>
      </c>
      <c r="K8" s="5" t="s">
        <v>3564</v>
      </c>
      <c r="L8" s="9" t="str">
        <f>HYPERLINK("http://slimages.macys.com/is/image/MCY/11935772 ")</f>
        <v xml:space="preserve">http://slimages.macys.com/is/image/MCY/11935772 </v>
      </c>
    </row>
    <row r="9" spans="1:12" ht="39.950000000000003" customHeight="1" x14ac:dyDescent="0.25">
      <c r="A9" s="4" t="s">
        <v>3565</v>
      </c>
      <c r="B9" s="5" t="s">
        <v>3566</v>
      </c>
      <c r="C9" s="6">
        <v>1</v>
      </c>
      <c r="D9" s="7">
        <v>179.99</v>
      </c>
      <c r="E9" s="6">
        <v>82205</v>
      </c>
      <c r="F9" s="5" t="s">
        <v>755</v>
      </c>
      <c r="G9" s="8"/>
      <c r="H9" s="5" t="s">
        <v>712</v>
      </c>
      <c r="I9" s="5" t="s">
        <v>1058</v>
      </c>
      <c r="J9" s="5" t="s">
        <v>20</v>
      </c>
      <c r="K9" s="5" t="s">
        <v>3567</v>
      </c>
      <c r="L9" s="9" t="str">
        <f>HYPERLINK("http://slimages.macys.com/is/image/MCY/16578696 ")</f>
        <v xml:space="preserve">http://slimages.macys.com/is/image/MCY/16578696 </v>
      </c>
    </row>
    <row r="10" spans="1:12" ht="39.950000000000003" customHeight="1" x14ac:dyDescent="0.25">
      <c r="A10" s="4" t="s">
        <v>2261</v>
      </c>
      <c r="B10" s="5" t="s">
        <v>2262</v>
      </c>
      <c r="C10" s="6">
        <v>2</v>
      </c>
      <c r="D10" s="7">
        <v>459.98</v>
      </c>
      <c r="E10" s="6" t="s">
        <v>2263</v>
      </c>
      <c r="F10" s="5" t="s">
        <v>89</v>
      </c>
      <c r="G10" s="8"/>
      <c r="H10" s="5" t="s">
        <v>707</v>
      </c>
      <c r="I10" s="5" t="s">
        <v>730</v>
      </c>
      <c r="J10" s="5" t="s">
        <v>20</v>
      </c>
      <c r="K10" s="5" t="s">
        <v>2264</v>
      </c>
      <c r="L10" s="9" t="str">
        <f>HYPERLINK("http://slimages.macys.com/is/image/MCY/11953123 ")</f>
        <v xml:space="preserve">http://slimages.macys.com/is/image/MCY/11953123 </v>
      </c>
    </row>
    <row r="11" spans="1:12" ht="39.950000000000003" customHeight="1" x14ac:dyDescent="0.25">
      <c r="A11" s="4" t="s">
        <v>3568</v>
      </c>
      <c r="B11" s="5" t="s">
        <v>3569</v>
      </c>
      <c r="C11" s="6">
        <v>1</v>
      </c>
      <c r="D11" s="7">
        <v>229.99</v>
      </c>
      <c r="E11" s="6" t="s">
        <v>3570</v>
      </c>
      <c r="F11" s="5" t="s">
        <v>89</v>
      </c>
      <c r="G11" s="8"/>
      <c r="H11" s="5" t="s">
        <v>707</v>
      </c>
      <c r="I11" s="5" t="s">
        <v>1868</v>
      </c>
      <c r="J11" s="5" t="s">
        <v>20</v>
      </c>
      <c r="K11" s="5"/>
      <c r="L11" s="9" t="str">
        <f>HYPERLINK("http://slimages.macys.com/is/image/MCY/8315087 ")</f>
        <v xml:space="preserve">http://slimages.macys.com/is/image/MCY/8315087 </v>
      </c>
    </row>
    <row r="12" spans="1:12" ht="39.950000000000003" customHeight="1" x14ac:dyDescent="0.25">
      <c r="A12" s="4" t="s">
        <v>3571</v>
      </c>
      <c r="B12" s="5" t="s">
        <v>3572</v>
      </c>
      <c r="C12" s="6">
        <v>1</v>
      </c>
      <c r="D12" s="7">
        <v>119.99</v>
      </c>
      <c r="E12" s="6" t="s">
        <v>3573</v>
      </c>
      <c r="F12" s="5" t="s">
        <v>610</v>
      </c>
      <c r="G12" s="8"/>
      <c r="H12" s="5" t="s">
        <v>712</v>
      </c>
      <c r="I12" s="5" t="s">
        <v>746</v>
      </c>
      <c r="J12" s="5" t="s">
        <v>20</v>
      </c>
      <c r="K12" s="5" t="s">
        <v>3574</v>
      </c>
      <c r="L12" s="9" t="str">
        <f>HYPERLINK("http://slimages.macys.com/is/image/MCY/9627779 ")</f>
        <v xml:space="preserve">http://slimages.macys.com/is/image/MCY/9627779 </v>
      </c>
    </row>
    <row r="13" spans="1:12" ht="39.950000000000003" customHeight="1" x14ac:dyDescent="0.25">
      <c r="A13" s="4" t="s">
        <v>3575</v>
      </c>
      <c r="B13" s="5" t="s">
        <v>3308</v>
      </c>
      <c r="C13" s="6">
        <v>2</v>
      </c>
      <c r="D13" s="7">
        <v>236</v>
      </c>
      <c r="E13" s="6">
        <v>11115</v>
      </c>
      <c r="F13" s="5" t="s">
        <v>89</v>
      </c>
      <c r="G13" s="8" t="s">
        <v>17</v>
      </c>
      <c r="H13" s="5" t="s">
        <v>2711</v>
      </c>
      <c r="I13" s="5" t="s">
        <v>3309</v>
      </c>
      <c r="J13" s="5" t="s">
        <v>20</v>
      </c>
      <c r="K13" s="5" t="s">
        <v>2721</v>
      </c>
      <c r="L13" s="9" t="str">
        <f>HYPERLINK("http://images.bloomingdales.com/is/image/BLM/8152365 ")</f>
        <v xml:space="preserve">http://images.bloomingdales.com/is/image/BLM/8152365 </v>
      </c>
    </row>
    <row r="14" spans="1:12" ht="39.950000000000003" customHeight="1" x14ac:dyDescent="0.25">
      <c r="A14" s="4" t="s">
        <v>3576</v>
      </c>
      <c r="B14" s="5" t="s">
        <v>3577</v>
      </c>
      <c r="C14" s="6">
        <v>1</v>
      </c>
      <c r="D14" s="7">
        <v>119.99</v>
      </c>
      <c r="E14" s="6" t="s">
        <v>3578</v>
      </c>
      <c r="F14" s="5" t="s">
        <v>628</v>
      </c>
      <c r="G14" s="8"/>
      <c r="H14" s="5" t="s">
        <v>1528</v>
      </c>
      <c r="I14" s="5" t="s">
        <v>1529</v>
      </c>
      <c r="J14" s="5"/>
      <c r="K14" s="5"/>
      <c r="L14" s="9" t="str">
        <f>HYPERLINK("http://slimages.macys.com/is/image/MCY/17662869 ")</f>
        <v xml:space="preserve">http://slimages.macys.com/is/image/MCY/17662869 </v>
      </c>
    </row>
    <row r="15" spans="1:12" ht="39.950000000000003" customHeight="1" x14ac:dyDescent="0.25">
      <c r="A15" s="4" t="s">
        <v>3579</v>
      </c>
      <c r="B15" s="5" t="s">
        <v>3580</v>
      </c>
      <c r="C15" s="6">
        <v>1</v>
      </c>
      <c r="D15" s="7">
        <v>99.99</v>
      </c>
      <c r="E15" s="6">
        <v>10002532100</v>
      </c>
      <c r="F15" s="5" t="s">
        <v>922</v>
      </c>
      <c r="G15" s="8"/>
      <c r="H15" s="5" t="s">
        <v>707</v>
      </c>
      <c r="I15" s="5" t="s">
        <v>1110</v>
      </c>
      <c r="J15" s="5" t="s">
        <v>20</v>
      </c>
      <c r="K15" s="5" t="s">
        <v>3581</v>
      </c>
      <c r="L15" s="9" t="str">
        <f>HYPERLINK("http://slimages.macys.com/is/image/MCY/8967378 ")</f>
        <v xml:space="preserve">http://slimages.macys.com/is/image/MCY/8967378 </v>
      </c>
    </row>
    <row r="16" spans="1:12" ht="39.950000000000003" customHeight="1" x14ac:dyDescent="0.25">
      <c r="A16" s="4" t="s">
        <v>2291</v>
      </c>
      <c r="B16" s="5" t="s">
        <v>2292</v>
      </c>
      <c r="C16" s="6">
        <v>1</v>
      </c>
      <c r="D16" s="7">
        <v>49.99</v>
      </c>
      <c r="E16" s="6">
        <v>4403</v>
      </c>
      <c r="F16" s="5" t="s">
        <v>89</v>
      </c>
      <c r="G16" s="8" t="s">
        <v>1486</v>
      </c>
      <c r="H16" s="5" t="s">
        <v>1644</v>
      </c>
      <c r="I16" s="5" t="s">
        <v>2293</v>
      </c>
      <c r="J16" s="5" t="s">
        <v>20</v>
      </c>
      <c r="K16" s="5" t="s">
        <v>2294</v>
      </c>
      <c r="L16" s="9" t="str">
        <f>HYPERLINK("http://slimages.macys.com/is/image/MCY/9873929 ")</f>
        <v xml:space="preserve">http://slimages.macys.com/is/image/MCY/9873929 </v>
      </c>
    </row>
    <row r="17" spans="1:12" ht="39.950000000000003" customHeight="1" x14ac:dyDescent="0.25">
      <c r="A17" s="4" t="s">
        <v>3582</v>
      </c>
      <c r="B17" s="5" t="s">
        <v>3583</v>
      </c>
      <c r="C17" s="6">
        <v>1</v>
      </c>
      <c r="D17" s="7">
        <v>164.99</v>
      </c>
      <c r="E17" s="6" t="s">
        <v>3584</v>
      </c>
      <c r="F17" s="5" t="s">
        <v>89</v>
      </c>
      <c r="G17" s="8" t="s">
        <v>1687</v>
      </c>
      <c r="H17" s="5" t="s">
        <v>707</v>
      </c>
      <c r="I17" s="5" t="s">
        <v>730</v>
      </c>
      <c r="J17" s="5" t="s">
        <v>20</v>
      </c>
      <c r="K17" s="5" t="s">
        <v>846</v>
      </c>
      <c r="L17" s="9" t="str">
        <f>HYPERLINK("http://slimages.macys.com/is/image/MCY/8182285 ")</f>
        <v xml:space="preserve">http://slimages.macys.com/is/image/MCY/8182285 </v>
      </c>
    </row>
    <row r="18" spans="1:12" ht="39.950000000000003" customHeight="1" x14ac:dyDescent="0.25">
      <c r="A18" s="4" t="s">
        <v>3585</v>
      </c>
      <c r="B18" s="5" t="s">
        <v>3586</v>
      </c>
      <c r="C18" s="6">
        <v>1</v>
      </c>
      <c r="D18" s="7">
        <v>79.989999999999995</v>
      </c>
      <c r="E18" s="6" t="s">
        <v>3587</v>
      </c>
      <c r="F18" s="5" t="s">
        <v>555</v>
      </c>
      <c r="G18" s="8"/>
      <c r="H18" s="5" t="s">
        <v>1673</v>
      </c>
      <c r="I18" s="5" t="s">
        <v>1674</v>
      </c>
      <c r="J18" s="5" t="s">
        <v>20</v>
      </c>
      <c r="K18" s="5" t="s">
        <v>798</v>
      </c>
      <c r="L18" s="9" t="str">
        <f>HYPERLINK("http://slimages.macys.com/is/image/MCY/2768808 ")</f>
        <v xml:space="preserve">http://slimages.macys.com/is/image/MCY/2768808 </v>
      </c>
    </row>
    <row r="19" spans="1:12" ht="39.950000000000003" customHeight="1" x14ac:dyDescent="0.25">
      <c r="A19" s="4" t="s">
        <v>3588</v>
      </c>
      <c r="B19" s="5" t="s">
        <v>3589</v>
      </c>
      <c r="C19" s="6">
        <v>4</v>
      </c>
      <c r="D19" s="7">
        <v>359.96</v>
      </c>
      <c r="E19" s="6" t="s">
        <v>3590</v>
      </c>
      <c r="F19" s="5" t="s">
        <v>89</v>
      </c>
      <c r="G19" s="8"/>
      <c r="H19" s="5" t="s">
        <v>772</v>
      </c>
      <c r="I19" s="5" t="s">
        <v>2523</v>
      </c>
      <c r="J19" s="5" t="s">
        <v>20</v>
      </c>
      <c r="K19" s="5"/>
      <c r="L19" s="9" t="str">
        <f>HYPERLINK("http://slimages.macys.com/is/image/MCY/9408132 ")</f>
        <v xml:space="preserve">http://slimages.macys.com/is/image/MCY/9408132 </v>
      </c>
    </row>
    <row r="20" spans="1:12" ht="39.950000000000003" customHeight="1" x14ac:dyDescent="0.25">
      <c r="A20" s="4" t="s">
        <v>3591</v>
      </c>
      <c r="B20" s="5" t="s">
        <v>3592</v>
      </c>
      <c r="C20" s="6">
        <v>1</v>
      </c>
      <c r="D20" s="7">
        <v>69.989999999999995</v>
      </c>
      <c r="E20" s="6" t="s">
        <v>3593</v>
      </c>
      <c r="F20" s="5" t="s">
        <v>31</v>
      </c>
      <c r="G20" s="8"/>
      <c r="H20" s="5" t="s">
        <v>772</v>
      </c>
      <c r="I20" s="5" t="s">
        <v>773</v>
      </c>
      <c r="J20" s="5" t="s">
        <v>20</v>
      </c>
      <c r="K20" s="5" t="s">
        <v>1052</v>
      </c>
      <c r="L20" s="9" t="str">
        <f>HYPERLINK("http://slimages.macys.com/is/image/MCY/11607139 ")</f>
        <v xml:space="preserve">http://slimages.macys.com/is/image/MCY/11607139 </v>
      </c>
    </row>
    <row r="21" spans="1:12" ht="39.950000000000003" customHeight="1" x14ac:dyDescent="0.25">
      <c r="A21" s="4" t="s">
        <v>3594</v>
      </c>
      <c r="B21" s="5" t="s">
        <v>3595</v>
      </c>
      <c r="C21" s="6">
        <v>1</v>
      </c>
      <c r="D21" s="7">
        <v>59.99</v>
      </c>
      <c r="E21" s="6" t="s">
        <v>3596</v>
      </c>
      <c r="F21" s="5" t="s">
        <v>394</v>
      </c>
      <c r="G21" s="8" t="s">
        <v>360</v>
      </c>
      <c r="H21" s="5" t="s">
        <v>734</v>
      </c>
      <c r="I21" s="5" t="s">
        <v>1166</v>
      </c>
      <c r="J21" s="5" t="s">
        <v>20</v>
      </c>
      <c r="K21" s="5" t="s">
        <v>3597</v>
      </c>
      <c r="L21" s="9" t="str">
        <f>HYPERLINK("http://slimages.macys.com/is/image/MCY/9248696 ")</f>
        <v xml:space="preserve">http://slimages.macys.com/is/image/MCY/9248696 </v>
      </c>
    </row>
    <row r="22" spans="1:12" ht="39.950000000000003" customHeight="1" x14ac:dyDescent="0.25">
      <c r="A22" s="4" t="s">
        <v>1089</v>
      </c>
      <c r="B22" s="5" t="s">
        <v>1090</v>
      </c>
      <c r="C22" s="6">
        <v>1</v>
      </c>
      <c r="D22" s="7">
        <v>49.99</v>
      </c>
      <c r="E22" s="6" t="s">
        <v>1091</v>
      </c>
      <c r="F22" s="5" t="s">
        <v>89</v>
      </c>
      <c r="G22" s="8"/>
      <c r="H22" s="5" t="s">
        <v>712</v>
      </c>
      <c r="I22" s="5" t="s">
        <v>1092</v>
      </c>
      <c r="J22" s="5" t="s">
        <v>20</v>
      </c>
      <c r="K22" s="5" t="s">
        <v>1093</v>
      </c>
      <c r="L22" s="9" t="str">
        <f>HYPERLINK("http://slimages.macys.com/is/image/MCY/9330026 ")</f>
        <v xml:space="preserve">http://slimages.macys.com/is/image/MCY/9330026 </v>
      </c>
    </row>
    <row r="23" spans="1:12" ht="39.950000000000003" customHeight="1" x14ac:dyDescent="0.25">
      <c r="A23" s="4" t="s">
        <v>3598</v>
      </c>
      <c r="B23" s="5" t="s">
        <v>3599</v>
      </c>
      <c r="C23" s="6">
        <v>1</v>
      </c>
      <c r="D23" s="7">
        <v>49.99</v>
      </c>
      <c r="E23" s="6">
        <v>20553322</v>
      </c>
      <c r="F23" s="5"/>
      <c r="G23" s="8"/>
      <c r="H23" s="5" t="s">
        <v>712</v>
      </c>
      <c r="I23" s="5" t="s">
        <v>1092</v>
      </c>
      <c r="J23" s="5" t="s">
        <v>132</v>
      </c>
      <c r="K23" s="5" t="s">
        <v>1093</v>
      </c>
      <c r="L23" s="9" t="str">
        <f>HYPERLINK("http://slimages.macys.com/is/image/MCY/11707586 ")</f>
        <v xml:space="preserve">http://slimages.macys.com/is/image/MCY/11707586 </v>
      </c>
    </row>
    <row r="24" spans="1:12" ht="39.950000000000003" customHeight="1" x14ac:dyDescent="0.25">
      <c r="A24" s="4" t="s">
        <v>3600</v>
      </c>
      <c r="B24" s="5" t="s">
        <v>3601</v>
      </c>
      <c r="C24" s="6">
        <v>1</v>
      </c>
      <c r="D24" s="7">
        <v>49.99</v>
      </c>
      <c r="E24" s="6" t="s">
        <v>3602</v>
      </c>
      <c r="F24" s="5" t="s">
        <v>394</v>
      </c>
      <c r="G24" s="8"/>
      <c r="H24" s="5" t="s">
        <v>712</v>
      </c>
      <c r="I24" s="5" t="s">
        <v>1092</v>
      </c>
      <c r="J24" s="5" t="s">
        <v>20</v>
      </c>
      <c r="K24" s="5" t="s">
        <v>396</v>
      </c>
      <c r="L24" s="9" t="str">
        <f>HYPERLINK("http://slimages.macys.com/is/image/MCY/8347198 ")</f>
        <v xml:space="preserve">http://slimages.macys.com/is/image/MCY/8347198 </v>
      </c>
    </row>
    <row r="25" spans="1:12" ht="39.950000000000003" customHeight="1" x14ac:dyDescent="0.25">
      <c r="A25" s="4" t="s">
        <v>3603</v>
      </c>
      <c r="B25" s="5" t="s">
        <v>3604</v>
      </c>
      <c r="C25" s="6">
        <v>1</v>
      </c>
      <c r="D25" s="7">
        <v>59.99</v>
      </c>
      <c r="E25" s="6" t="s">
        <v>3605</v>
      </c>
      <c r="F25" s="5" t="s">
        <v>289</v>
      </c>
      <c r="G25" s="8"/>
      <c r="H25" s="5" t="s">
        <v>1528</v>
      </c>
      <c r="I25" s="5" t="s">
        <v>1529</v>
      </c>
      <c r="J25" s="5" t="s">
        <v>20</v>
      </c>
      <c r="K25" s="5" t="s">
        <v>341</v>
      </c>
      <c r="L25" s="9" t="str">
        <f>HYPERLINK("http://slimages.macys.com/is/image/MCY/13949182 ")</f>
        <v xml:space="preserve">http://slimages.macys.com/is/image/MCY/13949182 </v>
      </c>
    </row>
    <row r="26" spans="1:12" ht="39.950000000000003" customHeight="1" x14ac:dyDescent="0.25">
      <c r="A26" s="4" t="s">
        <v>3606</v>
      </c>
      <c r="B26" s="5" t="s">
        <v>3607</v>
      </c>
      <c r="C26" s="6">
        <v>1</v>
      </c>
      <c r="D26" s="7">
        <v>59.99</v>
      </c>
      <c r="E26" s="6" t="s">
        <v>3608</v>
      </c>
      <c r="F26" s="5" t="s">
        <v>359</v>
      </c>
      <c r="G26" s="8"/>
      <c r="H26" s="5" t="s">
        <v>1528</v>
      </c>
      <c r="I26" s="5" t="s">
        <v>1529</v>
      </c>
      <c r="J26" s="5" t="s">
        <v>20</v>
      </c>
      <c r="K26" s="5" t="s">
        <v>341</v>
      </c>
      <c r="L26" s="9" t="str">
        <f>HYPERLINK("http://slimages.macys.com/is/image/MCY/17667941 ")</f>
        <v xml:space="preserve">http://slimages.macys.com/is/image/MCY/17667941 </v>
      </c>
    </row>
    <row r="27" spans="1:12" ht="39.950000000000003" customHeight="1" x14ac:dyDescent="0.25">
      <c r="A27" s="4" t="s">
        <v>3609</v>
      </c>
      <c r="B27" s="5" t="s">
        <v>3610</v>
      </c>
      <c r="C27" s="6">
        <v>1</v>
      </c>
      <c r="D27" s="7">
        <v>59.99</v>
      </c>
      <c r="E27" s="6" t="s">
        <v>3611</v>
      </c>
      <c r="F27" s="5" t="s">
        <v>359</v>
      </c>
      <c r="G27" s="8"/>
      <c r="H27" s="5" t="s">
        <v>1528</v>
      </c>
      <c r="I27" s="5" t="s">
        <v>1529</v>
      </c>
      <c r="J27" s="5" t="s">
        <v>20</v>
      </c>
      <c r="K27" s="5" t="s">
        <v>341</v>
      </c>
      <c r="L27" s="9" t="str">
        <f>HYPERLINK("http://slimages.macys.com/is/image/MCY/13949182 ")</f>
        <v xml:space="preserve">http://slimages.macys.com/is/image/MCY/13949182 </v>
      </c>
    </row>
    <row r="28" spans="1:12" ht="39.950000000000003" customHeight="1" x14ac:dyDescent="0.25">
      <c r="A28" s="4" t="s">
        <v>2975</v>
      </c>
      <c r="B28" s="5" t="s">
        <v>2976</v>
      </c>
      <c r="C28" s="6">
        <v>1</v>
      </c>
      <c r="D28" s="7">
        <v>39.99</v>
      </c>
      <c r="E28" s="6" t="s">
        <v>2977</v>
      </c>
      <c r="F28" s="5" t="s">
        <v>89</v>
      </c>
      <c r="G28" s="8" t="s">
        <v>781</v>
      </c>
      <c r="H28" s="5" t="s">
        <v>782</v>
      </c>
      <c r="I28" s="5" t="s">
        <v>1990</v>
      </c>
      <c r="J28" s="5"/>
      <c r="K28" s="5"/>
      <c r="L28" s="9" t="str">
        <f>HYPERLINK("http://slimages.macys.com/is/image/MCY/17546507 ")</f>
        <v xml:space="preserve">http://slimages.macys.com/is/image/MCY/17546507 </v>
      </c>
    </row>
    <row r="29" spans="1:12" ht="39.950000000000003" customHeight="1" x14ac:dyDescent="0.25">
      <c r="A29" s="4" t="s">
        <v>3612</v>
      </c>
      <c r="B29" s="5" t="s">
        <v>3613</v>
      </c>
      <c r="C29" s="6">
        <v>1</v>
      </c>
      <c r="D29" s="7">
        <v>54.99</v>
      </c>
      <c r="E29" s="6">
        <v>130415</v>
      </c>
      <c r="F29" s="5" t="s">
        <v>2430</v>
      </c>
      <c r="G29" s="8" t="s">
        <v>1486</v>
      </c>
      <c r="H29" s="5" t="s">
        <v>1644</v>
      </c>
      <c r="I29" s="5" t="s">
        <v>2293</v>
      </c>
      <c r="J29" s="5" t="s">
        <v>20</v>
      </c>
      <c r="K29" s="5" t="s">
        <v>396</v>
      </c>
      <c r="L29" s="9" t="str">
        <f>HYPERLINK("http://slimages.macys.com/is/image/MCY/15716697 ")</f>
        <v xml:space="preserve">http://slimages.macys.com/is/image/MCY/15716697 </v>
      </c>
    </row>
    <row r="30" spans="1:12" ht="39.950000000000003" customHeight="1" x14ac:dyDescent="0.25">
      <c r="A30" s="4" t="s">
        <v>3614</v>
      </c>
      <c r="B30" s="5" t="s">
        <v>3615</v>
      </c>
      <c r="C30" s="6">
        <v>1</v>
      </c>
      <c r="D30" s="7">
        <v>39.99</v>
      </c>
      <c r="E30" s="6" t="s">
        <v>3616</v>
      </c>
      <c r="F30" s="5" t="s">
        <v>1260</v>
      </c>
      <c r="G30" s="8" t="s">
        <v>954</v>
      </c>
      <c r="H30" s="5" t="s">
        <v>916</v>
      </c>
      <c r="I30" s="5" t="s">
        <v>917</v>
      </c>
      <c r="J30" s="5" t="s">
        <v>20</v>
      </c>
      <c r="K30" s="5" t="s">
        <v>2545</v>
      </c>
      <c r="L30" s="9" t="str">
        <f>HYPERLINK("http://slimages.macys.com/is/image/MCY/15098992 ")</f>
        <v xml:space="preserve">http://slimages.macys.com/is/image/MCY/15098992 </v>
      </c>
    </row>
    <row r="31" spans="1:12" ht="39.950000000000003" customHeight="1" x14ac:dyDescent="0.25">
      <c r="A31" s="4" t="s">
        <v>3617</v>
      </c>
      <c r="B31" s="5" t="s">
        <v>3618</v>
      </c>
      <c r="C31" s="6">
        <v>2</v>
      </c>
      <c r="D31" s="7">
        <v>51.98</v>
      </c>
      <c r="E31" s="6">
        <v>55907</v>
      </c>
      <c r="F31" s="5" t="s">
        <v>206</v>
      </c>
      <c r="G31" s="8"/>
      <c r="H31" s="5" t="s">
        <v>745</v>
      </c>
      <c r="I31" s="5" t="s">
        <v>1630</v>
      </c>
      <c r="J31" s="5" t="s">
        <v>20</v>
      </c>
      <c r="K31" s="5" t="s">
        <v>396</v>
      </c>
      <c r="L31" s="9" t="str">
        <f>HYPERLINK("http://slimages.macys.com/is/image/MCY/14663227 ")</f>
        <v xml:space="preserve">http://slimages.macys.com/is/image/MCY/14663227 </v>
      </c>
    </row>
    <row r="32" spans="1:12" ht="39.950000000000003" customHeight="1" x14ac:dyDescent="0.25">
      <c r="A32" s="4" t="s">
        <v>3619</v>
      </c>
      <c r="B32" s="5" t="s">
        <v>3620</v>
      </c>
      <c r="C32" s="6">
        <v>1</v>
      </c>
      <c r="D32" s="7">
        <v>29.99</v>
      </c>
      <c r="E32" s="6">
        <v>10004234300</v>
      </c>
      <c r="F32" s="5" t="s">
        <v>89</v>
      </c>
      <c r="G32" s="8" t="s">
        <v>1144</v>
      </c>
      <c r="H32" s="5" t="s">
        <v>739</v>
      </c>
      <c r="I32" s="5" t="s">
        <v>1561</v>
      </c>
      <c r="J32" s="5" t="s">
        <v>132</v>
      </c>
      <c r="K32" s="5" t="s">
        <v>1487</v>
      </c>
      <c r="L32" s="9" t="str">
        <f>HYPERLINK("http://slimages.macys.com/is/image/MCY/9938529 ")</f>
        <v xml:space="preserve">http://slimages.macys.com/is/image/MCY/9938529 </v>
      </c>
    </row>
    <row r="33" spans="1:12" ht="39.950000000000003" customHeight="1" x14ac:dyDescent="0.25">
      <c r="A33" s="4" t="s">
        <v>3621</v>
      </c>
      <c r="B33" s="5" t="s">
        <v>3622</v>
      </c>
      <c r="C33" s="6">
        <v>2</v>
      </c>
      <c r="D33" s="7">
        <v>39.979999999999997</v>
      </c>
      <c r="E33" s="6" t="s">
        <v>3623</v>
      </c>
      <c r="F33" s="5" t="s">
        <v>2055</v>
      </c>
      <c r="G33" s="8"/>
      <c r="H33" s="5" t="s">
        <v>865</v>
      </c>
      <c r="I33" s="5" t="s">
        <v>2765</v>
      </c>
      <c r="J33" s="5" t="s">
        <v>20</v>
      </c>
      <c r="K33" s="5" t="s">
        <v>1652</v>
      </c>
      <c r="L33" s="9" t="str">
        <f>HYPERLINK("http://slimages.macys.com/is/image/MCY/9654011 ")</f>
        <v xml:space="preserve">http://slimages.macys.com/is/image/MCY/9654011 </v>
      </c>
    </row>
    <row r="34" spans="1:12" ht="39.950000000000003" customHeight="1" x14ac:dyDescent="0.25">
      <c r="A34" s="4" t="s">
        <v>3624</v>
      </c>
      <c r="B34" s="5" t="s">
        <v>3625</v>
      </c>
      <c r="C34" s="6">
        <v>1</v>
      </c>
      <c r="D34" s="7">
        <v>19.989999999999998</v>
      </c>
      <c r="E34" s="6" t="s">
        <v>3626</v>
      </c>
      <c r="F34" s="5" t="s">
        <v>16</v>
      </c>
      <c r="G34" s="8"/>
      <c r="H34" s="5" t="s">
        <v>724</v>
      </c>
      <c r="I34" s="5" t="s">
        <v>3627</v>
      </c>
      <c r="J34" s="5" t="s">
        <v>1067</v>
      </c>
      <c r="K34" s="5"/>
      <c r="L34" s="9" t="str">
        <f>HYPERLINK("http://slimages.macys.com/is/image/MCY/8575742 ")</f>
        <v xml:space="preserve">http://slimages.macys.com/is/image/MCY/8575742 </v>
      </c>
    </row>
    <row r="35" spans="1:12" ht="39.950000000000003" customHeight="1" x14ac:dyDescent="0.25">
      <c r="A35" s="4" t="s">
        <v>1631</v>
      </c>
      <c r="B35" s="5" t="s">
        <v>1632</v>
      </c>
      <c r="C35" s="6">
        <v>1</v>
      </c>
      <c r="D35" s="7">
        <v>16.989999999999998</v>
      </c>
      <c r="E35" s="6" t="s">
        <v>1633</v>
      </c>
      <c r="F35" s="5" t="s">
        <v>604</v>
      </c>
      <c r="G35" s="8" t="s">
        <v>954</v>
      </c>
      <c r="H35" s="5" t="s">
        <v>916</v>
      </c>
      <c r="I35" s="5" t="s">
        <v>917</v>
      </c>
      <c r="J35" s="5" t="s">
        <v>20</v>
      </c>
      <c r="K35" s="5" t="s">
        <v>798</v>
      </c>
      <c r="L35" s="9" t="str">
        <f>HYPERLINK("http://slimages.macys.com/is/image/MCY/12737864 ")</f>
        <v xml:space="preserve">http://slimages.macys.com/is/image/MCY/12737864 </v>
      </c>
    </row>
    <row r="36" spans="1:12" ht="39.950000000000003" customHeight="1" x14ac:dyDescent="0.25">
      <c r="A36" s="4" t="s">
        <v>3628</v>
      </c>
      <c r="B36" s="5" t="s">
        <v>3629</v>
      </c>
      <c r="C36" s="6">
        <v>2</v>
      </c>
      <c r="D36" s="7">
        <v>49.98</v>
      </c>
      <c r="E36" s="6" t="s">
        <v>3630</v>
      </c>
      <c r="F36" s="5" t="s">
        <v>1260</v>
      </c>
      <c r="G36" s="8" t="s">
        <v>1012</v>
      </c>
      <c r="H36" s="5" t="s">
        <v>916</v>
      </c>
      <c r="I36" s="5" t="s">
        <v>917</v>
      </c>
      <c r="J36" s="5" t="s">
        <v>20</v>
      </c>
      <c r="K36" s="5" t="s">
        <v>2545</v>
      </c>
      <c r="L36" s="9" t="str">
        <f>HYPERLINK("http://slimages.macys.com/is/image/MCY/14322102 ")</f>
        <v xml:space="preserve">http://slimages.macys.com/is/image/MCY/14322102 </v>
      </c>
    </row>
    <row r="37" spans="1:12" ht="39.950000000000003" customHeight="1" x14ac:dyDescent="0.25">
      <c r="A37" s="4" t="s">
        <v>3631</v>
      </c>
      <c r="B37" s="5" t="s">
        <v>3632</v>
      </c>
      <c r="C37" s="6">
        <v>1</v>
      </c>
      <c r="D37" s="7">
        <v>11.99</v>
      </c>
      <c r="E37" s="6">
        <v>1005082900</v>
      </c>
      <c r="F37" s="5" t="s">
        <v>922</v>
      </c>
      <c r="G37" s="8" t="s">
        <v>1012</v>
      </c>
      <c r="H37" s="5" t="s">
        <v>916</v>
      </c>
      <c r="I37" s="5" t="s">
        <v>1561</v>
      </c>
      <c r="J37" s="5" t="s">
        <v>20</v>
      </c>
      <c r="K37" s="5" t="s">
        <v>1652</v>
      </c>
      <c r="L37" s="9" t="str">
        <f>HYPERLINK("http://slimages.macys.com/is/image/MCY/11709707 ")</f>
        <v xml:space="preserve">http://slimages.macys.com/is/image/MCY/11709707 </v>
      </c>
    </row>
    <row r="38" spans="1:12" ht="39.950000000000003" customHeight="1" x14ac:dyDescent="0.25">
      <c r="A38" s="4" t="s">
        <v>3633</v>
      </c>
      <c r="B38" s="5" t="s">
        <v>3634</v>
      </c>
      <c r="C38" s="6">
        <v>1</v>
      </c>
      <c r="D38" s="7">
        <v>11.99</v>
      </c>
      <c r="E38" s="6">
        <v>1005082900</v>
      </c>
      <c r="F38" s="5" t="s">
        <v>31</v>
      </c>
      <c r="G38" s="8" t="s">
        <v>1012</v>
      </c>
      <c r="H38" s="5" t="s">
        <v>916</v>
      </c>
      <c r="I38" s="5" t="s">
        <v>1561</v>
      </c>
      <c r="J38" s="5" t="s">
        <v>20</v>
      </c>
      <c r="K38" s="5" t="s">
        <v>1652</v>
      </c>
      <c r="L38" s="9" t="str">
        <f>HYPERLINK("http://slimages.macys.com/is/image/MCY/11709707 ")</f>
        <v xml:space="preserve">http://slimages.macys.com/is/image/MCY/11709707 </v>
      </c>
    </row>
    <row r="39" spans="1:12" ht="39.950000000000003" customHeight="1" x14ac:dyDescent="0.25">
      <c r="A39" s="4" t="s">
        <v>3635</v>
      </c>
      <c r="B39" s="5" t="s">
        <v>3636</v>
      </c>
      <c r="C39" s="6">
        <v>1</v>
      </c>
      <c r="D39" s="7">
        <v>7.99</v>
      </c>
      <c r="E39" s="6" t="s">
        <v>3637</v>
      </c>
      <c r="F39" s="5" t="s">
        <v>89</v>
      </c>
      <c r="G39" s="8"/>
      <c r="H39" s="5" t="s">
        <v>940</v>
      </c>
      <c r="I39" s="5" t="s">
        <v>941</v>
      </c>
      <c r="J39" s="5" t="s">
        <v>20</v>
      </c>
      <c r="K39" s="5" t="s">
        <v>3638</v>
      </c>
      <c r="L39" s="9" t="str">
        <f>HYPERLINK("http://slimages.macys.com/is/image/MCY/15893113 ")</f>
        <v xml:space="preserve">http://slimages.macys.com/is/image/MCY/15893113 </v>
      </c>
    </row>
    <row r="40" spans="1:12" ht="39.950000000000003" customHeight="1" x14ac:dyDescent="0.25">
      <c r="A40" s="4" t="s">
        <v>3639</v>
      </c>
      <c r="B40" s="5" t="s">
        <v>3640</v>
      </c>
      <c r="C40" s="6">
        <v>1</v>
      </c>
      <c r="D40" s="7">
        <v>3.99</v>
      </c>
      <c r="E40" s="6" t="s">
        <v>3641</v>
      </c>
      <c r="F40" s="5" t="s">
        <v>89</v>
      </c>
      <c r="G40" s="8" t="s">
        <v>1179</v>
      </c>
      <c r="H40" s="5" t="s">
        <v>940</v>
      </c>
      <c r="I40" s="5" t="s">
        <v>1166</v>
      </c>
      <c r="J40" s="5" t="s">
        <v>20</v>
      </c>
      <c r="K40" s="5" t="s">
        <v>798</v>
      </c>
      <c r="L40" s="9" t="str">
        <f>HYPERLINK("http://slimages.macys.com/is/image/MCY/11926122 ")</f>
        <v xml:space="preserve">http://slimages.macys.com/is/image/MCY/11926122 </v>
      </c>
    </row>
    <row r="41" spans="1:12" ht="39.950000000000003" customHeight="1" x14ac:dyDescent="0.25">
      <c r="A41" s="4" t="s">
        <v>2896</v>
      </c>
      <c r="B41" s="5" t="s">
        <v>2897</v>
      </c>
      <c r="C41" s="6">
        <v>4</v>
      </c>
      <c r="D41" s="7">
        <v>27.96</v>
      </c>
      <c r="E41" s="6">
        <v>1010021400</v>
      </c>
      <c r="F41" s="5" t="s">
        <v>674</v>
      </c>
      <c r="G41" s="8" t="s">
        <v>1179</v>
      </c>
      <c r="H41" s="5" t="s">
        <v>916</v>
      </c>
      <c r="I41" s="5" t="s">
        <v>1561</v>
      </c>
      <c r="J41" s="5"/>
      <c r="K41" s="5"/>
      <c r="L41" s="9" t="str">
        <f>HYPERLINK("http://slimages.macys.com/is/image/MCY/18097904 ")</f>
        <v xml:space="preserve">http://slimages.macys.com/is/image/MCY/18097904 </v>
      </c>
    </row>
    <row r="42" spans="1:12" ht="39.950000000000003" customHeight="1" x14ac:dyDescent="0.25">
      <c r="A42" s="4" t="s">
        <v>1019</v>
      </c>
      <c r="B42" s="5" t="s">
        <v>694</v>
      </c>
      <c r="C42" s="6">
        <v>4</v>
      </c>
      <c r="D42" s="7">
        <v>160</v>
      </c>
      <c r="E42" s="6"/>
      <c r="F42" s="5" t="s">
        <v>16</v>
      </c>
      <c r="G42" s="8" t="s">
        <v>17</v>
      </c>
      <c r="H42" s="5" t="s">
        <v>695</v>
      </c>
      <c r="I42" s="5" t="s">
        <v>696</v>
      </c>
      <c r="J42" s="5"/>
      <c r="K42" s="5"/>
      <c r="L42" s="9"/>
    </row>
    <row r="43" spans="1:12" ht="39.950000000000003" customHeight="1" x14ac:dyDescent="0.25">
      <c r="A43" s="4" t="s">
        <v>3642</v>
      </c>
      <c r="B43" s="5" t="s">
        <v>3643</v>
      </c>
      <c r="C43" s="6">
        <v>1</v>
      </c>
      <c r="D43" s="7">
        <v>59.99</v>
      </c>
      <c r="E43" s="6">
        <v>83480</v>
      </c>
      <c r="F43" s="5" t="s">
        <v>922</v>
      </c>
      <c r="G43" s="8"/>
      <c r="H43" s="5" t="s">
        <v>712</v>
      </c>
      <c r="I43" s="5" t="s">
        <v>1058</v>
      </c>
      <c r="J43" s="5"/>
      <c r="K43" s="5"/>
      <c r="L43" s="9"/>
    </row>
    <row r="44" spans="1:12" ht="39.950000000000003" customHeight="1" x14ac:dyDescent="0.25">
      <c r="A44" s="4" t="s">
        <v>3644</v>
      </c>
      <c r="B44" s="5" t="s">
        <v>3645</v>
      </c>
      <c r="C44" s="6">
        <v>1</v>
      </c>
      <c r="D44" s="7">
        <v>44.99</v>
      </c>
      <c r="E44" s="6" t="s">
        <v>3646</v>
      </c>
      <c r="F44" s="5" t="s">
        <v>54</v>
      </c>
      <c r="G44" s="8"/>
      <c r="H44" s="5" t="s">
        <v>745</v>
      </c>
      <c r="I44" s="5" t="s">
        <v>3647</v>
      </c>
      <c r="J44" s="5"/>
      <c r="K44" s="5"/>
      <c r="L44" s="9"/>
    </row>
    <row r="45" spans="1:12" ht="39.950000000000003" customHeight="1" x14ac:dyDescent="0.25">
      <c r="A45" s="4"/>
      <c r="B45" s="5"/>
      <c r="C45" s="6"/>
      <c r="D45" s="7"/>
      <c r="E45" s="6"/>
      <c r="F45" s="5"/>
      <c r="G45" s="8"/>
      <c r="H45" s="5"/>
      <c r="I45" s="5"/>
      <c r="J45" s="5"/>
      <c r="K45" s="5"/>
      <c r="L45" s="9"/>
    </row>
    <row r="46" spans="1:12" ht="39.950000000000003" customHeight="1" x14ac:dyDescent="0.25">
      <c r="A46" s="4"/>
      <c r="B46" s="5"/>
      <c r="C46" s="6"/>
      <c r="D46" s="7"/>
      <c r="E46" s="6"/>
      <c r="F46" s="5"/>
      <c r="G46" s="8"/>
      <c r="H46" s="5"/>
      <c r="I46" s="5"/>
      <c r="J46" s="5"/>
      <c r="K46" s="5"/>
      <c r="L46" s="9"/>
    </row>
    <row r="47" spans="1:12" ht="39.950000000000003" customHeight="1" x14ac:dyDescent="0.25">
      <c r="A47" s="4"/>
      <c r="B47" s="5"/>
      <c r="C47" s="6"/>
      <c r="D47" s="7"/>
      <c r="E47" s="6"/>
      <c r="F47" s="5"/>
      <c r="G47" s="8"/>
      <c r="H47" s="5"/>
      <c r="I47" s="5"/>
      <c r="J47" s="5"/>
      <c r="K47" s="5"/>
      <c r="L47" s="9"/>
    </row>
    <row r="48" spans="1:12" ht="39.950000000000003" customHeight="1" x14ac:dyDescent="0.25">
      <c r="A48" s="4"/>
      <c r="B48" s="5"/>
      <c r="C48" s="6"/>
      <c r="D48" s="7"/>
      <c r="E48" s="6"/>
      <c r="F48" s="5"/>
      <c r="G48" s="8"/>
      <c r="H48" s="5"/>
      <c r="I48" s="5"/>
      <c r="J48" s="5"/>
      <c r="K48" s="5"/>
      <c r="L48" s="9"/>
    </row>
    <row r="49" spans="1:12" ht="39.950000000000003" customHeight="1" x14ac:dyDescent="0.25">
      <c r="A49" s="4"/>
      <c r="B49" s="5"/>
      <c r="C49" s="6"/>
      <c r="D49" s="7"/>
      <c r="E49" s="6"/>
      <c r="F49" s="5"/>
      <c r="G49" s="8"/>
      <c r="H49" s="5"/>
      <c r="I49" s="5"/>
      <c r="J49" s="5"/>
      <c r="K49" s="5"/>
      <c r="L49" s="9"/>
    </row>
    <row r="50" spans="1:12" ht="39.950000000000003" customHeight="1" x14ac:dyDescent="0.25">
      <c r="A50" s="4"/>
      <c r="B50" s="5"/>
      <c r="C50" s="6"/>
      <c r="D50" s="7"/>
      <c r="E50" s="6"/>
      <c r="F50" s="5"/>
      <c r="G50" s="8"/>
      <c r="H50" s="5"/>
      <c r="I50" s="5"/>
      <c r="J50" s="5"/>
      <c r="K50" s="5"/>
      <c r="L50" s="9"/>
    </row>
    <row r="51" spans="1:12" ht="39.950000000000003" customHeight="1" x14ac:dyDescent="0.25">
      <c r="A51" s="4"/>
      <c r="B51" s="5"/>
      <c r="C51" s="6"/>
      <c r="D51" s="7"/>
      <c r="E51" s="6"/>
      <c r="F51" s="5"/>
      <c r="G51" s="8"/>
      <c r="H51" s="5"/>
      <c r="I51" s="5"/>
      <c r="J51" s="5"/>
      <c r="K51" s="5"/>
      <c r="L51" s="9"/>
    </row>
    <row r="52" spans="1:12" ht="39.950000000000003" customHeight="1" x14ac:dyDescent="0.25">
      <c r="A52" s="4"/>
      <c r="B52" s="5"/>
      <c r="C52" s="6"/>
      <c r="D52" s="7"/>
      <c r="E52" s="6"/>
      <c r="F52" s="5"/>
      <c r="G52" s="8"/>
      <c r="H52" s="5"/>
      <c r="I52" s="5"/>
      <c r="J52" s="5"/>
      <c r="K52" s="5"/>
      <c r="L52" s="9"/>
    </row>
    <row r="53" spans="1:12" ht="39.950000000000003" customHeight="1" x14ac:dyDescent="0.25">
      <c r="A53" s="4"/>
      <c r="B53" s="5"/>
      <c r="C53" s="6"/>
      <c r="D53" s="7"/>
      <c r="E53" s="6"/>
      <c r="F53" s="5"/>
      <c r="G53" s="8"/>
      <c r="H53" s="5"/>
      <c r="I53" s="5"/>
      <c r="J53" s="5"/>
      <c r="K53" s="5"/>
      <c r="L53" s="9"/>
    </row>
    <row r="54" spans="1:12" ht="39.950000000000003" customHeight="1" x14ac:dyDescent="0.25">
      <c r="A54" s="4"/>
      <c r="B54" s="5"/>
      <c r="C54" s="6"/>
      <c r="D54" s="7"/>
      <c r="E54" s="6"/>
      <c r="F54" s="5"/>
      <c r="G54" s="8"/>
      <c r="H54" s="5"/>
      <c r="I54" s="5"/>
      <c r="J54" s="5"/>
      <c r="K54" s="5"/>
      <c r="L54" s="9"/>
    </row>
    <row r="55" spans="1:12" ht="39.950000000000003" customHeight="1" x14ac:dyDescent="0.25">
      <c r="A55" s="4"/>
      <c r="B55" s="5"/>
      <c r="C55" s="6"/>
      <c r="D55" s="7"/>
      <c r="E55" s="6"/>
      <c r="F55" s="5"/>
      <c r="G55" s="8"/>
      <c r="H55" s="5"/>
      <c r="I55" s="5"/>
      <c r="J55" s="5"/>
      <c r="K55" s="5"/>
      <c r="L55" s="9"/>
    </row>
    <row r="56" spans="1:12" ht="39.950000000000003" customHeight="1" x14ac:dyDescent="0.25">
      <c r="A56" s="4"/>
      <c r="B56" s="5"/>
      <c r="C56" s="6"/>
      <c r="D56" s="7"/>
      <c r="E56" s="6"/>
      <c r="F56" s="5"/>
      <c r="G56" s="8"/>
      <c r="H56" s="5"/>
      <c r="I56" s="5"/>
      <c r="J56" s="5"/>
      <c r="K56" s="5"/>
      <c r="L56" s="9"/>
    </row>
    <row r="65" ht="39.950000000000003" customHeight="1" x14ac:dyDescent="0.25"/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5"/>
  <sheetViews>
    <sheetView topLeftCell="A16" workbookViewId="0">
      <selection activeCell="L26" sqref="L26"/>
    </sheetView>
  </sheetViews>
  <sheetFormatPr defaultRowHeight="15" x14ac:dyDescent="0.25"/>
  <cols>
    <col min="1" max="1" width="14.140625" style="24" bestFit="1" customWidth="1"/>
    <col min="2" max="2" width="26.140625" style="24" bestFit="1" customWidth="1"/>
    <col min="3" max="3" width="12.42578125" style="24" bestFit="1" customWidth="1"/>
    <col min="4" max="4" width="8.7109375" style="24" bestFit="1" customWidth="1"/>
    <col min="5" max="5" width="12.140625" style="24" customWidth="1"/>
    <col min="6" max="6" width="12.28515625" style="24" bestFit="1" customWidth="1"/>
    <col min="7" max="7" width="13.140625" style="24" bestFit="1" customWidth="1"/>
    <col min="8" max="8" width="9" style="24" bestFit="1" customWidth="1"/>
    <col min="9" max="9" width="16.7109375" style="24" bestFit="1" customWidth="1"/>
    <col min="10" max="10" width="12.5703125" style="24" bestFit="1" customWidth="1"/>
    <col min="11" max="11" width="25" style="24" bestFit="1" customWidth="1"/>
    <col min="12" max="12" width="16.7109375" style="24" bestFit="1" customWidth="1"/>
    <col min="13" max="16384" width="9.140625" style="24"/>
  </cols>
  <sheetData>
    <row r="1" spans="1:12" ht="39.950000000000003" customHeight="1" x14ac:dyDescent="0.25">
      <c r="A1" s="18" t="s">
        <v>2</v>
      </c>
      <c r="B1" s="18" t="s">
        <v>3</v>
      </c>
      <c r="C1" s="18" t="s">
        <v>4</v>
      </c>
      <c r="D1" s="18" t="s">
        <v>3648</v>
      </c>
      <c r="E1" s="18" t="s">
        <v>6</v>
      </c>
      <c r="F1" s="18" t="s">
        <v>7</v>
      </c>
      <c r="G1" s="18" t="s">
        <v>8</v>
      </c>
      <c r="H1" s="18" t="s">
        <v>9</v>
      </c>
      <c r="I1" s="18" t="s">
        <v>10</v>
      </c>
      <c r="J1" s="18" t="s">
        <v>11</v>
      </c>
      <c r="K1" s="18" t="s">
        <v>12</v>
      </c>
      <c r="L1" s="18" t="s">
        <v>13</v>
      </c>
    </row>
    <row r="2" spans="1:12" ht="39.950000000000003" customHeight="1" x14ac:dyDescent="0.25">
      <c r="A2" s="19" t="s">
        <v>3649</v>
      </c>
      <c r="B2" s="20" t="s">
        <v>3650</v>
      </c>
      <c r="C2" s="21">
        <v>2</v>
      </c>
      <c r="D2" s="22">
        <v>399.99</v>
      </c>
      <c r="E2" s="21" t="s">
        <v>3651</v>
      </c>
      <c r="F2" s="20" t="s">
        <v>89</v>
      </c>
      <c r="G2" s="19"/>
      <c r="H2" s="20" t="s">
        <v>1854</v>
      </c>
      <c r="I2" s="20" t="s">
        <v>725</v>
      </c>
      <c r="J2" s="20" t="s">
        <v>20</v>
      </c>
      <c r="K2" s="20" t="s">
        <v>3548</v>
      </c>
      <c r="L2" s="23" t="str">
        <f>HYPERLINK("http://slimages.macys.com/is/image/MCY/3974565 ")</f>
        <v xml:space="preserve">http://slimages.macys.com/is/image/MCY/3974565 </v>
      </c>
    </row>
    <row r="3" spans="1:12" ht="39.950000000000003" customHeight="1" x14ac:dyDescent="0.25">
      <c r="A3" s="19" t="s">
        <v>3652</v>
      </c>
      <c r="B3" s="20" t="s">
        <v>3653</v>
      </c>
      <c r="C3" s="21">
        <v>1</v>
      </c>
      <c r="D3" s="22">
        <v>299.99</v>
      </c>
      <c r="E3" s="21" t="s">
        <v>3654</v>
      </c>
      <c r="F3" s="20" t="s">
        <v>1008</v>
      </c>
      <c r="G3" s="19"/>
      <c r="H3" s="20" t="s">
        <v>700</v>
      </c>
      <c r="I3" s="20" t="s">
        <v>840</v>
      </c>
      <c r="J3" s="20" t="s">
        <v>20</v>
      </c>
      <c r="K3" s="20" t="s">
        <v>3655</v>
      </c>
      <c r="L3" s="23" t="str">
        <f>HYPERLINK("http://slimages.macys.com/is/image/MCY/11154036 ")</f>
        <v xml:space="preserve">http://slimages.macys.com/is/image/MCY/11154036 </v>
      </c>
    </row>
    <row r="4" spans="1:12" ht="39.950000000000003" customHeight="1" x14ac:dyDescent="0.25">
      <c r="A4" s="19" t="s">
        <v>3656</v>
      </c>
      <c r="B4" s="20" t="s">
        <v>3657</v>
      </c>
      <c r="C4" s="21">
        <v>1</v>
      </c>
      <c r="D4" s="22">
        <v>219.99</v>
      </c>
      <c r="E4" s="21" t="s">
        <v>3658</v>
      </c>
      <c r="F4" s="20" t="s">
        <v>89</v>
      </c>
      <c r="G4" s="19" t="s">
        <v>1065</v>
      </c>
      <c r="H4" s="20" t="s">
        <v>724</v>
      </c>
      <c r="I4" s="20" t="s">
        <v>725</v>
      </c>
      <c r="J4" s="20" t="s">
        <v>20</v>
      </c>
      <c r="K4" s="20" t="s">
        <v>726</v>
      </c>
      <c r="L4" s="23" t="str">
        <f>HYPERLINK("http://slimages.macys.com/is/image/MCY/3962581 ")</f>
        <v xml:space="preserve">http://slimages.macys.com/is/image/MCY/3962581 </v>
      </c>
    </row>
    <row r="5" spans="1:12" ht="39.950000000000003" customHeight="1" x14ac:dyDescent="0.25">
      <c r="A5" s="19" t="s">
        <v>3659</v>
      </c>
      <c r="B5" s="20" t="s">
        <v>2262</v>
      </c>
      <c r="C5" s="21">
        <v>1</v>
      </c>
      <c r="D5" s="22">
        <v>299.99</v>
      </c>
      <c r="E5" s="21" t="s">
        <v>1485</v>
      </c>
      <c r="F5" s="20" t="s">
        <v>89</v>
      </c>
      <c r="G5" s="19" t="s">
        <v>1486</v>
      </c>
      <c r="H5" s="20" t="s">
        <v>707</v>
      </c>
      <c r="I5" s="20" t="s">
        <v>730</v>
      </c>
      <c r="J5" s="20" t="s">
        <v>20</v>
      </c>
      <c r="K5" s="20" t="s">
        <v>1487</v>
      </c>
      <c r="L5" s="23" t="str">
        <f>HYPERLINK("http://slimages.macys.com/is/image/MCY/11953123 ")</f>
        <v xml:space="preserve">http://slimages.macys.com/is/image/MCY/11953123 </v>
      </c>
    </row>
    <row r="6" spans="1:12" ht="39.950000000000003" customHeight="1" x14ac:dyDescent="0.25">
      <c r="A6" s="19" t="s">
        <v>1856</v>
      </c>
      <c r="B6" s="20" t="s">
        <v>1857</v>
      </c>
      <c r="C6" s="21">
        <v>1</v>
      </c>
      <c r="D6" s="22">
        <v>279.99</v>
      </c>
      <c r="E6" s="21" t="s">
        <v>706</v>
      </c>
      <c r="F6" s="20" t="s">
        <v>89</v>
      </c>
      <c r="G6" s="19"/>
      <c r="H6" s="20" t="s">
        <v>707</v>
      </c>
      <c r="I6" s="20" t="s">
        <v>708</v>
      </c>
      <c r="J6" s="20" t="s">
        <v>20</v>
      </c>
      <c r="K6" s="20" t="s">
        <v>330</v>
      </c>
      <c r="L6" s="23" t="str">
        <f>HYPERLINK("http://slimages.macys.com/is/image/MCY/14788488 ")</f>
        <v xml:space="preserve">http://slimages.macys.com/is/image/MCY/14788488 </v>
      </c>
    </row>
    <row r="7" spans="1:12" ht="39.950000000000003" customHeight="1" x14ac:dyDescent="0.25">
      <c r="A7" s="19" t="s">
        <v>3558</v>
      </c>
      <c r="B7" s="20" t="s">
        <v>3559</v>
      </c>
      <c r="C7" s="21">
        <v>1</v>
      </c>
      <c r="D7" s="22">
        <v>199.99</v>
      </c>
      <c r="E7" s="21" t="s">
        <v>3560</v>
      </c>
      <c r="F7" s="20" t="s">
        <v>89</v>
      </c>
      <c r="G7" s="19"/>
      <c r="H7" s="20" t="s">
        <v>1854</v>
      </c>
      <c r="I7" s="20" t="s">
        <v>1066</v>
      </c>
      <c r="J7" s="20" t="s">
        <v>1067</v>
      </c>
      <c r="K7" s="20" t="s">
        <v>1855</v>
      </c>
      <c r="L7" s="23" t="str">
        <f>HYPERLINK("http://slimages.macys.com/is/image/MCY/3962568 ")</f>
        <v xml:space="preserve">http://slimages.macys.com/is/image/MCY/3962568 </v>
      </c>
    </row>
    <row r="8" spans="1:12" ht="39.950000000000003" customHeight="1" x14ac:dyDescent="0.25">
      <c r="A8" s="19" t="s">
        <v>3660</v>
      </c>
      <c r="B8" s="20" t="s">
        <v>3661</v>
      </c>
      <c r="C8" s="21">
        <v>1</v>
      </c>
      <c r="D8" s="22">
        <v>229.99</v>
      </c>
      <c r="E8" s="21" t="s">
        <v>3662</v>
      </c>
      <c r="F8" s="20" t="s">
        <v>289</v>
      </c>
      <c r="G8" s="19"/>
      <c r="H8" s="20" t="s">
        <v>707</v>
      </c>
      <c r="I8" s="20" t="s">
        <v>874</v>
      </c>
      <c r="J8" s="20"/>
      <c r="K8" s="20"/>
      <c r="L8" s="23" t="str">
        <f>HYPERLINK("http://slimages.macys.com/is/image/MCY/18613770 ")</f>
        <v xml:space="preserve">http://slimages.macys.com/is/image/MCY/18613770 </v>
      </c>
    </row>
    <row r="9" spans="1:12" ht="39.950000000000003" customHeight="1" x14ac:dyDescent="0.25">
      <c r="A9" s="19" t="s">
        <v>721</v>
      </c>
      <c r="B9" s="20" t="s">
        <v>722</v>
      </c>
      <c r="C9" s="21">
        <v>6</v>
      </c>
      <c r="D9" s="22">
        <v>169.99</v>
      </c>
      <c r="E9" s="21" t="s">
        <v>723</v>
      </c>
      <c r="F9" s="20" t="s">
        <v>89</v>
      </c>
      <c r="G9" s="19"/>
      <c r="H9" s="20" t="s">
        <v>724</v>
      </c>
      <c r="I9" s="20" t="s">
        <v>725</v>
      </c>
      <c r="J9" s="20" t="s">
        <v>20</v>
      </c>
      <c r="K9" s="20" t="s">
        <v>726</v>
      </c>
      <c r="L9" s="23" t="str">
        <f>HYPERLINK("http://slimages.macys.com/is/image/MCY/3962581 ")</f>
        <v xml:space="preserve">http://slimages.macys.com/is/image/MCY/3962581 </v>
      </c>
    </row>
    <row r="10" spans="1:12" ht="39.950000000000003" customHeight="1" x14ac:dyDescent="0.25">
      <c r="A10" s="19" t="s">
        <v>3663</v>
      </c>
      <c r="B10" s="20" t="s">
        <v>3664</v>
      </c>
      <c r="C10" s="21">
        <v>1</v>
      </c>
      <c r="D10" s="22">
        <v>149.99</v>
      </c>
      <c r="E10" s="21" t="s">
        <v>3665</v>
      </c>
      <c r="F10" s="20" t="s">
        <v>1008</v>
      </c>
      <c r="G10" s="19"/>
      <c r="H10" s="20" t="s">
        <v>700</v>
      </c>
      <c r="I10" s="20" t="s">
        <v>840</v>
      </c>
      <c r="J10" s="20" t="s">
        <v>20</v>
      </c>
      <c r="K10" s="20" t="s">
        <v>3666</v>
      </c>
      <c r="L10" s="23" t="str">
        <f>HYPERLINK("http://slimages.macys.com/is/image/MCY/11154053 ")</f>
        <v xml:space="preserve">http://slimages.macys.com/is/image/MCY/11154053 </v>
      </c>
    </row>
    <row r="11" spans="1:12" ht="39.950000000000003" customHeight="1" x14ac:dyDescent="0.25">
      <c r="A11" s="19" t="s">
        <v>2261</v>
      </c>
      <c r="B11" s="20" t="s">
        <v>2262</v>
      </c>
      <c r="C11" s="21">
        <v>1</v>
      </c>
      <c r="D11" s="22">
        <v>229.99</v>
      </c>
      <c r="E11" s="21" t="s">
        <v>2263</v>
      </c>
      <c r="F11" s="20" t="s">
        <v>89</v>
      </c>
      <c r="G11" s="19"/>
      <c r="H11" s="20" t="s">
        <v>707</v>
      </c>
      <c r="I11" s="20" t="s">
        <v>730</v>
      </c>
      <c r="J11" s="20" t="s">
        <v>20</v>
      </c>
      <c r="K11" s="20" t="s">
        <v>2264</v>
      </c>
      <c r="L11" s="23" t="str">
        <f>HYPERLINK("http://slimages.macys.com/is/image/MCY/11953123 ")</f>
        <v xml:space="preserve">http://slimages.macys.com/is/image/MCY/11953123 </v>
      </c>
    </row>
    <row r="12" spans="1:12" ht="39.950000000000003" customHeight="1" x14ac:dyDescent="0.25">
      <c r="A12" s="19" t="s">
        <v>3667</v>
      </c>
      <c r="B12" s="20" t="s">
        <v>3668</v>
      </c>
      <c r="C12" s="21">
        <v>2</v>
      </c>
      <c r="D12" s="22">
        <v>129.99</v>
      </c>
      <c r="E12" s="21" t="s">
        <v>3669</v>
      </c>
      <c r="F12" s="20" t="s">
        <v>1008</v>
      </c>
      <c r="G12" s="19" t="s">
        <v>3456</v>
      </c>
      <c r="H12" s="20" t="s">
        <v>700</v>
      </c>
      <c r="I12" s="20" t="s">
        <v>840</v>
      </c>
      <c r="J12" s="20" t="s">
        <v>20</v>
      </c>
      <c r="K12" s="20" t="s">
        <v>3655</v>
      </c>
      <c r="L12" s="23" t="str">
        <f>HYPERLINK("http://slimages.macys.com/is/image/MCY/11154049 ")</f>
        <v xml:space="preserve">http://slimages.macys.com/is/image/MCY/11154049 </v>
      </c>
    </row>
    <row r="13" spans="1:12" ht="39.950000000000003" customHeight="1" x14ac:dyDescent="0.25">
      <c r="A13" s="19" t="s">
        <v>3670</v>
      </c>
      <c r="B13" s="20" t="s">
        <v>3671</v>
      </c>
      <c r="C13" s="21">
        <v>1</v>
      </c>
      <c r="D13" s="22">
        <v>119.99</v>
      </c>
      <c r="E13" s="21" t="s">
        <v>3672</v>
      </c>
      <c r="F13" s="20" t="s">
        <v>89</v>
      </c>
      <c r="G13" s="19" t="s">
        <v>1486</v>
      </c>
      <c r="H13" s="20" t="s">
        <v>1854</v>
      </c>
      <c r="I13" s="20" t="s">
        <v>725</v>
      </c>
      <c r="J13" s="20"/>
      <c r="K13" s="20"/>
      <c r="L13" s="23" t="str">
        <f>HYPERLINK("http://slimages.macys.com/is/image/MCY/17580850 ")</f>
        <v xml:space="preserve">http://slimages.macys.com/is/image/MCY/17580850 </v>
      </c>
    </row>
    <row r="14" spans="1:12" ht="39.950000000000003" customHeight="1" x14ac:dyDescent="0.25">
      <c r="A14" s="19" t="s">
        <v>3673</v>
      </c>
      <c r="B14" s="20" t="s">
        <v>3674</v>
      </c>
      <c r="C14" s="21">
        <v>1</v>
      </c>
      <c r="D14" s="22">
        <v>119.99</v>
      </c>
      <c r="E14" s="21" t="s">
        <v>3675</v>
      </c>
      <c r="F14" s="20" t="s">
        <v>89</v>
      </c>
      <c r="G14" s="19" t="s">
        <v>781</v>
      </c>
      <c r="H14" s="20" t="s">
        <v>782</v>
      </c>
      <c r="I14" s="20" t="s">
        <v>3026</v>
      </c>
      <c r="J14" s="20" t="s">
        <v>1067</v>
      </c>
      <c r="K14" s="20" t="s">
        <v>3676</v>
      </c>
      <c r="L14" s="23" t="str">
        <f>HYPERLINK("http://slimages.macys.com/is/image/MCY/12673183 ")</f>
        <v xml:space="preserve">http://slimages.macys.com/is/image/MCY/12673183 </v>
      </c>
    </row>
    <row r="15" spans="1:12" ht="39.950000000000003" customHeight="1" x14ac:dyDescent="0.25">
      <c r="A15" s="19" t="s">
        <v>3677</v>
      </c>
      <c r="B15" s="20" t="s">
        <v>3678</v>
      </c>
      <c r="C15" s="21">
        <v>1</v>
      </c>
      <c r="D15" s="22">
        <v>139.99</v>
      </c>
      <c r="E15" s="21" t="s">
        <v>3679</v>
      </c>
      <c r="F15" s="20" t="s">
        <v>555</v>
      </c>
      <c r="G15" s="19" t="s">
        <v>1486</v>
      </c>
      <c r="H15" s="20" t="s">
        <v>739</v>
      </c>
      <c r="I15" s="20" t="s">
        <v>1561</v>
      </c>
      <c r="J15" s="20"/>
      <c r="K15" s="20"/>
      <c r="L15" s="23" t="str">
        <f>HYPERLINK("http://slimages.macys.com/is/image/MCY/17531037 ")</f>
        <v xml:space="preserve">http://slimages.macys.com/is/image/MCY/17531037 </v>
      </c>
    </row>
    <row r="16" spans="1:12" ht="39.950000000000003" customHeight="1" x14ac:dyDescent="0.25">
      <c r="A16" s="19" t="s">
        <v>3680</v>
      </c>
      <c r="B16" s="20" t="s">
        <v>3681</v>
      </c>
      <c r="C16" s="21">
        <v>1</v>
      </c>
      <c r="D16" s="22">
        <v>240</v>
      </c>
      <c r="E16" s="21" t="s">
        <v>3682</v>
      </c>
      <c r="F16" s="20" t="s">
        <v>89</v>
      </c>
      <c r="G16" s="19" t="s">
        <v>1687</v>
      </c>
      <c r="H16" s="20" t="s">
        <v>707</v>
      </c>
      <c r="I16" s="20" t="s">
        <v>3200</v>
      </c>
      <c r="J16" s="20" t="s">
        <v>702</v>
      </c>
      <c r="K16" s="20" t="s">
        <v>789</v>
      </c>
      <c r="L16" s="23" t="str">
        <f>HYPERLINK("http://images.bloomingdales.com/is/image/BLM/10788475 ")</f>
        <v xml:space="preserve">http://images.bloomingdales.com/is/image/BLM/10788475 </v>
      </c>
    </row>
    <row r="17" spans="1:12" ht="39.950000000000003" customHeight="1" x14ac:dyDescent="0.25">
      <c r="A17" s="19" t="s">
        <v>3683</v>
      </c>
      <c r="B17" s="20" t="s">
        <v>3684</v>
      </c>
      <c r="C17" s="21">
        <v>1</v>
      </c>
      <c r="D17" s="22">
        <v>149.99</v>
      </c>
      <c r="E17" s="21" t="s">
        <v>3685</v>
      </c>
      <c r="F17" s="20" t="s">
        <v>89</v>
      </c>
      <c r="G17" s="19"/>
      <c r="H17" s="20" t="s">
        <v>739</v>
      </c>
      <c r="I17" s="20" t="s">
        <v>740</v>
      </c>
      <c r="J17" s="20"/>
      <c r="K17" s="20"/>
      <c r="L17" s="23" t="str">
        <f>HYPERLINK("http://slimages.macys.com/is/image/MCY/17912472 ")</f>
        <v xml:space="preserve">http://slimages.macys.com/is/image/MCY/17912472 </v>
      </c>
    </row>
    <row r="18" spans="1:12" ht="39.950000000000003" customHeight="1" x14ac:dyDescent="0.25">
      <c r="A18" s="19" t="s">
        <v>3686</v>
      </c>
      <c r="B18" s="20" t="s">
        <v>3687</v>
      </c>
      <c r="C18" s="21">
        <v>1</v>
      </c>
      <c r="D18" s="22">
        <v>149.99</v>
      </c>
      <c r="E18" s="21" t="s">
        <v>3688</v>
      </c>
      <c r="F18" s="20" t="s">
        <v>89</v>
      </c>
      <c r="G18" s="19"/>
      <c r="H18" s="20" t="s">
        <v>707</v>
      </c>
      <c r="I18" s="20" t="s">
        <v>2513</v>
      </c>
      <c r="J18" s="20"/>
      <c r="K18" s="20"/>
      <c r="L18" s="23" t="str">
        <f>HYPERLINK("http://slimages.macys.com/is/image/MCY/18083601 ")</f>
        <v xml:space="preserve">http://slimages.macys.com/is/image/MCY/18083601 </v>
      </c>
    </row>
    <row r="19" spans="1:12" ht="39.950000000000003" customHeight="1" x14ac:dyDescent="0.25">
      <c r="A19" s="19" t="s">
        <v>3689</v>
      </c>
      <c r="B19" s="20" t="s">
        <v>3690</v>
      </c>
      <c r="C19" s="21">
        <v>1</v>
      </c>
      <c r="D19" s="22">
        <v>139.99</v>
      </c>
      <c r="E19" s="21" t="s">
        <v>3691</v>
      </c>
      <c r="F19" s="20" t="s">
        <v>54</v>
      </c>
      <c r="G19" s="19" t="s">
        <v>1687</v>
      </c>
      <c r="H19" s="20" t="s">
        <v>707</v>
      </c>
      <c r="I19" s="20" t="s">
        <v>730</v>
      </c>
      <c r="J19" s="20" t="s">
        <v>20</v>
      </c>
      <c r="K19" s="20" t="s">
        <v>846</v>
      </c>
      <c r="L19" s="23" t="str">
        <f>HYPERLINK("http://slimages.macys.com/is/image/MCY/8182285 ")</f>
        <v xml:space="preserve">http://slimages.macys.com/is/image/MCY/8182285 </v>
      </c>
    </row>
    <row r="20" spans="1:12" ht="39.950000000000003" customHeight="1" x14ac:dyDescent="0.25">
      <c r="A20" s="19" t="s">
        <v>3692</v>
      </c>
      <c r="B20" s="20" t="s">
        <v>3693</v>
      </c>
      <c r="C20" s="21">
        <v>2</v>
      </c>
      <c r="D20" s="22">
        <v>139.99</v>
      </c>
      <c r="E20" s="21" t="s">
        <v>3694</v>
      </c>
      <c r="F20" s="20" t="s">
        <v>89</v>
      </c>
      <c r="G20" s="19" t="s">
        <v>1687</v>
      </c>
      <c r="H20" s="20" t="s">
        <v>707</v>
      </c>
      <c r="I20" s="20" t="s">
        <v>730</v>
      </c>
      <c r="J20" s="20" t="s">
        <v>20</v>
      </c>
      <c r="K20" s="20" t="s">
        <v>846</v>
      </c>
      <c r="L20" s="23" t="str">
        <f>HYPERLINK("http://slimages.macys.com/is/image/MCY/8182285 ")</f>
        <v xml:space="preserve">http://slimages.macys.com/is/image/MCY/8182285 </v>
      </c>
    </row>
    <row r="21" spans="1:12" ht="39.950000000000003" customHeight="1" x14ac:dyDescent="0.25">
      <c r="A21" s="19" t="s">
        <v>3695</v>
      </c>
      <c r="B21" s="20" t="s">
        <v>3696</v>
      </c>
      <c r="C21" s="21">
        <v>2</v>
      </c>
      <c r="D21" s="22">
        <v>69.989999999999995</v>
      </c>
      <c r="E21" s="21" t="s">
        <v>3697</v>
      </c>
      <c r="F21" s="20" t="s">
        <v>600</v>
      </c>
      <c r="G21" s="19"/>
      <c r="H21" s="20" t="s">
        <v>772</v>
      </c>
      <c r="I21" s="20" t="s">
        <v>773</v>
      </c>
      <c r="J21" s="20" t="s">
        <v>20</v>
      </c>
      <c r="K21" s="20" t="s">
        <v>341</v>
      </c>
      <c r="L21" s="23" t="str">
        <f>HYPERLINK("http://slimages.macys.com/is/image/MCY/11607139 ")</f>
        <v xml:space="preserve">http://slimages.macys.com/is/image/MCY/11607139 </v>
      </c>
    </row>
    <row r="22" spans="1:12" ht="39.950000000000003" customHeight="1" x14ac:dyDescent="0.25">
      <c r="A22" s="19" t="s">
        <v>3698</v>
      </c>
      <c r="B22" s="20" t="s">
        <v>3699</v>
      </c>
      <c r="C22" s="21">
        <v>2</v>
      </c>
      <c r="D22" s="22">
        <v>99.99</v>
      </c>
      <c r="E22" s="21" t="s">
        <v>3700</v>
      </c>
      <c r="F22" s="20" t="s">
        <v>89</v>
      </c>
      <c r="G22" s="19" t="s">
        <v>1952</v>
      </c>
      <c r="H22" s="20" t="s">
        <v>707</v>
      </c>
      <c r="I22" s="20" t="s">
        <v>730</v>
      </c>
      <c r="J22" s="20"/>
      <c r="K22" s="20"/>
      <c r="L22" s="23" t="str">
        <f>HYPERLINK("http://slimages.macys.com/is/image/MCY/16686406 ")</f>
        <v xml:space="preserve">http://slimages.macys.com/is/image/MCY/16686406 </v>
      </c>
    </row>
    <row r="23" spans="1:12" ht="39.950000000000003" customHeight="1" x14ac:dyDescent="0.25">
      <c r="A23" s="19" t="s">
        <v>3701</v>
      </c>
      <c r="B23" s="20" t="s">
        <v>3702</v>
      </c>
      <c r="C23" s="21">
        <v>1</v>
      </c>
      <c r="D23" s="22">
        <v>59.99</v>
      </c>
      <c r="E23" s="21">
        <v>10004897500</v>
      </c>
      <c r="F23" s="20" t="s">
        <v>394</v>
      </c>
      <c r="G23" s="19"/>
      <c r="H23" s="20" t="s">
        <v>739</v>
      </c>
      <c r="I23" s="20" t="s">
        <v>740</v>
      </c>
      <c r="J23" s="20" t="s">
        <v>20</v>
      </c>
      <c r="K23" s="20"/>
      <c r="L23" s="23" t="str">
        <f>HYPERLINK("http://slimages.macys.com/is/image/MCY/14823286 ")</f>
        <v xml:space="preserve">http://slimages.macys.com/is/image/MCY/14823286 </v>
      </c>
    </row>
    <row r="24" spans="1:12" ht="39.950000000000003" customHeight="1" x14ac:dyDescent="0.25">
      <c r="A24" s="19" t="s">
        <v>3703</v>
      </c>
      <c r="B24" s="20" t="s">
        <v>3704</v>
      </c>
      <c r="C24" s="21">
        <v>1</v>
      </c>
      <c r="D24" s="22">
        <v>74.989999999999995</v>
      </c>
      <c r="E24" s="21" t="s">
        <v>3705</v>
      </c>
      <c r="F24" s="20" t="s">
        <v>89</v>
      </c>
      <c r="G24" s="19"/>
      <c r="H24" s="20" t="s">
        <v>707</v>
      </c>
      <c r="I24" s="20" t="s">
        <v>730</v>
      </c>
      <c r="J24" s="20" t="s">
        <v>20</v>
      </c>
      <c r="K24" s="20" t="s">
        <v>846</v>
      </c>
      <c r="L24" s="23" t="str">
        <f>HYPERLINK("http://slimages.macys.com/is/image/MCY/8182285 ")</f>
        <v xml:space="preserve">http://slimages.macys.com/is/image/MCY/8182285 </v>
      </c>
    </row>
    <row r="25" spans="1:12" ht="39.950000000000003" customHeight="1" x14ac:dyDescent="0.25">
      <c r="A25" s="19" t="s">
        <v>3706</v>
      </c>
      <c r="B25" s="20" t="s">
        <v>3707</v>
      </c>
      <c r="C25" s="21">
        <v>1</v>
      </c>
      <c r="D25" s="22">
        <v>39.99</v>
      </c>
      <c r="E25" s="21" t="s">
        <v>1729</v>
      </c>
      <c r="F25" s="20" t="s">
        <v>89</v>
      </c>
      <c r="G25" s="19" t="s">
        <v>1687</v>
      </c>
      <c r="H25" s="20" t="s">
        <v>1157</v>
      </c>
      <c r="I25" s="20" t="s">
        <v>1158</v>
      </c>
      <c r="J25" s="20" t="s">
        <v>20</v>
      </c>
      <c r="K25" s="20" t="s">
        <v>341</v>
      </c>
      <c r="L25" s="23" t="str">
        <f>HYPERLINK("http://slimages.macys.com/is/image/MCY/9513121 ")</f>
        <v xml:space="preserve">http://slimages.macys.com/is/image/MCY/9513121 </v>
      </c>
    </row>
    <row r="26" spans="1:12" ht="39.950000000000003" customHeight="1" x14ac:dyDescent="0.25">
      <c r="A26" s="19" t="s">
        <v>3708</v>
      </c>
      <c r="B26" s="20" t="s">
        <v>3709</v>
      </c>
      <c r="C26" s="21">
        <v>1</v>
      </c>
      <c r="D26" s="22">
        <v>64.989999999999995</v>
      </c>
      <c r="E26" s="21" t="s">
        <v>3710</v>
      </c>
      <c r="F26" s="20" t="s">
        <v>89</v>
      </c>
      <c r="G26" s="19"/>
      <c r="H26" s="20" t="s">
        <v>707</v>
      </c>
      <c r="I26" s="20" t="s">
        <v>730</v>
      </c>
      <c r="J26" s="20" t="s">
        <v>20</v>
      </c>
      <c r="K26" s="20" t="s">
        <v>846</v>
      </c>
      <c r="L26" s="23" t="str">
        <f>HYPERLINK("http://slimages.macys.com/is/image/MCY/8182285 ")</f>
        <v xml:space="preserve">http://slimages.macys.com/is/image/MCY/8182285 </v>
      </c>
    </row>
    <row r="27" spans="1:12" ht="39.950000000000003" customHeight="1" x14ac:dyDescent="0.25">
      <c r="A27" s="19" t="s">
        <v>3711</v>
      </c>
      <c r="B27" s="20" t="s">
        <v>3712</v>
      </c>
      <c r="C27" s="21">
        <v>1</v>
      </c>
      <c r="D27" s="22">
        <v>29.99</v>
      </c>
      <c r="E27" s="21" t="s">
        <v>3713</v>
      </c>
      <c r="F27" s="20" t="s">
        <v>31</v>
      </c>
      <c r="G27" s="19"/>
      <c r="H27" s="20" t="s">
        <v>712</v>
      </c>
      <c r="I27" s="20" t="s">
        <v>1576</v>
      </c>
      <c r="J27" s="20" t="s">
        <v>20</v>
      </c>
      <c r="K27" s="20" t="s">
        <v>396</v>
      </c>
      <c r="L27" s="23" t="str">
        <f>HYPERLINK("http://slimages.macys.com/is/image/MCY/10652381 ")</f>
        <v xml:space="preserve">http://slimages.macys.com/is/image/MCY/10652381 </v>
      </c>
    </row>
    <row r="28" spans="1:12" ht="39.950000000000003" customHeight="1" x14ac:dyDescent="0.25">
      <c r="A28" s="19" t="s">
        <v>3714</v>
      </c>
      <c r="B28" s="20" t="s">
        <v>3715</v>
      </c>
      <c r="C28" s="21">
        <v>4</v>
      </c>
      <c r="D28" s="22">
        <v>34.99</v>
      </c>
      <c r="E28" s="21" t="s">
        <v>3716</v>
      </c>
      <c r="F28" s="20" t="s">
        <v>16</v>
      </c>
      <c r="G28" s="19" t="s">
        <v>1065</v>
      </c>
      <c r="H28" s="20" t="s">
        <v>724</v>
      </c>
      <c r="I28" s="20" t="s">
        <v>3717</v>
      </c>
      <c r="J28" s="20" t="s">
        <v>1067</v>
      </c>
      <c r="K28" s="20"/>
      <c r="L28" s="23" t="str">
        <f>HYPERLINK("http://slimages.macys.com/is/image/MCY/9555756 ")</f>
        <v xml:space="preserve">http://slimages.macys.com/is/image/MCY/9555756 </v>
      </c>
    </row>
    <row r="29" spans="1:12" ht="39.950000000000003" customHeight="1" x14ac:dyDescent="0.25">
      <c r="A29" s="19" t="s">
        <v>3718</v>
      </c>
      <c r="B29" s="20" t="s">
        <v>3719</v>
      </c>
      <c r="C29" s="21">
        <v>2</v>
      </c>
      <c r="D29" s="22">
        <v>29.99</v>
      </c>
      <c r="E29" s="21" t="s">
        <v>3500</v>
      </c>
      <c r="F29" s="20" t="s">
        <v>206</v>
      </c>
      <c r="G29" s="19" t="s">
        <v>845</v>
      </c>
      <c r="H29" s="20" t="s">
        <v>1157</v>
      </c>
      <c r="I29" s="20" t="s">
        <v>1158</v>
      </c>
      <c r="J29" s="20" t="s">
        <v>20</v>
      </c>
      <c r="K29" s="20"/>
      <c r="L29" s="23" t="str">
        <f>HYPERLINK("http://slimages.macys.com/is/image/MCY/9356828 ")</f>
        <v xml:space="preserve">http://slimages.macys.com/is/image/MCY/9356828 </v>
      </c>
    </row>
    <row r="30" spans="1:12" ht="39.950000000000003" customHeight="1" x14ac:dyDescent="0.25">
      <c r="A30" s="19" t="s">
        <v>2881</v>
      </c>
      <c r="B30" s="20" t="s">
        <v>2882</v>
      </c>
      <c r="C30" s="21">
        <v>1</v>
      </c>
      <c r="D30" s="22">
        <v>79.989999999999995</v>
      </c>
      <c r="E30" s="21" t="s">
        <v>2883</v>
      </c>
      <c r="F30" s="20" t="s">
        <v>483</v>
      </c>
      <c r="G30" s="19"/>
      <c r="H30" s="20" t="s">
        <v>707</v>
      </c>
      <c r="I30" s="20" t="s">
        <v>708</v>
      </c>
      <c r="J30" s="20" t="s">
        <v>132</v>
      </c>
      <c r="K30" s="20" t="s">
        <v>2859</v>
      </c>
      <c r="L30" s="23" t="str">
        <f>HYPERLINK("http://slimages.macys.com/is/image/MCY/12354487 ")</f>
        <v xml:space="preserve">http://slimages.macys.com/is/image/MCY/12354487 </v>
      </c>
    </row>
    <row r="31" spans="1:12" ht="39.950000000000003" customHeight="1" x14ac:dyDescent="0.25">
      <c r="A31" s="19" t="s">
        <v>3507</v>
      </c>
      <c r="B31" s="20" t="s">
        <v>3508</v>
      </c>
      <c r="C31" s="21">
        <v>1</v>
      </c>
      <c r="D31" s="22">
        <v>69.989999999999995</v>
      </c>
      <c r="E31" s="21" t="s">
        <v>3509</v>
      </c>
      <c r="F31" s="20" t="s">
        <v>89</v>
      </c>
      <c r="G31" s="19"/>
      <c r="H31" s="20" t="s">
        <v>707</v>
      </c>
      <c r="I31" s="20" t="s">
        <v>730</v>
      </c>
      <c r="J31" s="20" t="s">
        <v>20</v>
      </c>
      <c r="K31" s="20" t="s">
        <v>2264</v>
      </c>
      <c r="L31" s="23" t="str">
        <f>HYPERLINK("http://slimages.macys.com/is/image/MCY/8157179 ")</f>
        <v xml:space="preserve">http://slimages.macys.com/is/image/MCY/8157179 </v>
      </c>
    </row>
    <row r="32" spans="1:12" ht="39.950000000000003" customHeight="1" x14ac:dyDescent="0.25">
      <c r="A32" s="19" t="s">
        <v>3720</v>
      </c>
      <c r="B32" s="20" t="s">
        <v>3721</v>
      </c>
      <c r="C32" s="21">
        <v>2</v>
      </c>
      <c r="D32" s="22">
        <v>22.99</v>
      </c>
      <c r="E32" s="21" t="s">
        <v>3722</v>
      </c>
      <c r="F32" s="20" t="s">
        <v>555</v>
      </c>
      <c r="G32" s="19" t="s">
        <v>17</v>
      </c>
      <c r="H32" s="20" t="s">
        <v>865</v>
      </c>
      <c r="I32" s="20" t="s">
        <v>3723</v>
      </c>
      <c r="J32" s="20" t="s">
        <v>20</v>
      </c>
      <c r="K32" s="20" t="s">
        <v>3724</v>
      </c>
      <c r="L32" s="23" t="str">
        <f>HYPERLINK("http://slimages.macys.com/is/image/MCY/15910388 ")</f>
        <v xml:space="preserve">http://slimages.macys.com/is/image/MCY/15910388 </v>
      </c>
    </row>
    <row r="33" spans="1:12" ht="39.950000000000003" customHeight="1" x14ac:dyDescent="0.25">
      <c r="A33" s="19" t="s">
        <v>3725</v>
      </c>
      <c r="B33" s="20" t="s">
        <v>3726</v>
      </c>
      <c r="C33" s="21">
        <v>1</v>
      </c>
      <c r="D33" s="22">
        <v>24.99</v>
      </c>
      <c r="E33" s="21" t="s">
        <v>3727</v>
      </c>
      <c r="F33" s="20" t="s">
        <v>89</v>
      </c>
      <c r="G33" s="19"/>
      <c r="H33" s="20" t="s">
        <v>865</v>
      </c>
      <c r="I33" s="20" t="s">
        <v>3728</v>
      </c>
      <c r="J33" s="20" t="s">
        <v>20</v>
      </c>
      <c r="K33" s="20" t="s">
        <v>3729</v>
      </c>
      <c r="L33" s="23" t="str">
        <f>HYPERLINK("http://slimages.macys.com/is/image/MCY/14348820 ")</f>
        <v xml:space="preserve">http://slimages.macys.com/is/image/MCY/14348820 </v>
      </c>
    </row>
    <row r="34" spans="1:12" ht="39.950000000000003" customHeight="1" x14ac:dyDescent="0.25">
      <c r="A34" s="19" t="s">
        <v>3730</v>
      </c>
      <c r="B34" s="20" t="s">
        <v>3731</v>
      </c>
      <c r="C34" s="21">
        <v>9</v>
      </c>
      <c r="D34" s="22">
        <v>29.99</v>
      </c>
      <c r="E34" s="21" t="s">
        <v>3732</v>
      </c>
      <c r="F34" s="20" t="s">
        <v>89</v>
      </c>
      <c r="G34" s="19" t="s">
        <v>1065</v>
      </c>
      <c r="H34" s="20" t="s">
        <v>724</v>
      </c>
      <c r="I34" s="20" t="s">
        <v>3627</v>
      </c>
      <c r="J34" s="20"/>
      <c r="K34" s="20"/>
      <c r="L34" s="23" t="str">
        <f>HYPERLINK("http://slimages.macys.com/is/image/MCY/16468836 ")</f>
        <v xml:space="preserve">http://slimages.macys.com/is/image/MCY/16468836 </v>
      </c>
    </row>
    <row r="35" spans="1:12" ht="39.950000000000003" customHeight="1" x14ac:dyDescent="0.25">
      <c r="A35" s="19" t="s">
        <v>3733</v>
      </c>
      <c r="B35" s="20" t="s">
        <v>3734</v>
      </c>
      <c r="C35" s="21">
        <v>2</v>
      </c>
      <c r="D35" s="22">
        <v>14.99</v>
      </c>
      <c r="E35" s="21" t="s">
        <v>3735</v>
      </c>
      <c r="F35" s="20" t="s">
        <v>555</v>
      </c>
      <c r="G35" s="19"/>
      <c r="H35" s="20" t="s">
        <v>745</v>
      </c>
      <c r="I35" s="20" t="s">
        <v>1630</v>
      </c>
      <c r="J35" s="20" t="s">
        <v>20</v>
      </c>
      <c r="K35" s="20" t="s">
        <v>396</v>
      </c>
      <c r="L35" s="23" t="str">
        <f>HYPERLINK("http://slimages.macys.com/is/image/MCY/9197452 ")</f>
        <v xml:space="preserve">http://slimages.macys.com/is/image/MCY/9197452 </v>
      </c>
    </row>
    <row r="36" spans="1:12" ht="39.950000000000003" customHeight="1" x14ac:dyDescent="0.25">
      <c r="A36" s="19" t="s">
        <v>3736</v>
      </c>
      <c r="B36" s="20" t="s">
        <v>3737</v>
      </c>
      <c r="C36" s="21">
        <v>2</v>
      </c>
      <c r="D36" s="22">
        <v>14.99</v>
      </c>
      <c r="E36" s="21" t="s">
        <v>3735</v>
      </c>
      <c r="F36" s="20" t="s">
        <v>555</v>
      </c>
      <c r="G36" s="19"/>
      <c r="H36" s="20" t="s">
        <v>745</v>
      </c>
      <c r="I36" s="20" t="s">
        <v>1630</v>
      </c>
      <c r="J36" s="20" t="s">
        <v>20</v>
      </c>
      <c r="K36" s="20" t="s">
        <v>396</v>
      </c>
      <c r="L36" s="23" t="str">
        <f>HYPERLINK("http://slimages.macys.com/is/image/MCY/9197452 ")</f>
        <v xml:space="preserve">http://slimages.macys.com/is/image/MCY/9197452 </v>
      </c>
    </row>
    <row r="37" spans="1:12" ht="39.950000000000003" customHeight="1" x14ac:dyDescent="0.25">
      <c r="A37" s="19" t="s">
        <v>3738</v>
      </c>
      <c r="B37" s="20" t="s">
        <v>3739</v>
      </c>
      <c r="C37" s="21">
        <v>1</v>
      </c>
      <c r="D37" s="22">
        <v>17.989999999999998</v>
      </c>
      <c r="E37" s="21">
        <v>6576400</v>
      </c>
      <c r="F37" s="20" t="s">
        <v>54</v>
      </c>
      <c r="G37" s="19"/>
      <c r="H37" s="20" t="s">
        <v>865</v>
      </c>
      <c r="I37" s="20" t="s">
        <v>3740</v>
      </c>
      <c r="J37" s="20" t="s">
        <v>20</v>
      </c>
      <c r="K37" s="20" t="s">
        <v>794</v>
      </c>
      <c r="L37" s="23" t="str">
        <f>HYPERLINK("http://slimages.macys.com/is/image/MCY/11683339 ")</f>
        <v xml:space="preserve">http://slimages.macys.com/is/image/MCY/11683339 </v>
      </c>
    </row>
    <row r="38" spans="1:12" ht="39.950000000000003" customHeight="1" x14ac:dyDescent="0.25">
      <c r="A38" s="19" t="s">
        <v>3741</v>
      </c>
      <c r="B38" s="20" t="s">
        <v>3742</v>
      </c>
      <c r="C38" s="21">
        <v>2</v>
      </c>
      <c r="D38" s="22">
        <v>29.99</v>
      </c>
      <c r="E38" s="21" t="s">
        <v>3743</v>
      </c>
      <c r="F38" s="20" t="s">
        <v>159</v>
      </c>
      <c r="G38" s="19"/>
      <c r="H38" s="20" t="s">
        <v>1673</v>
      </c>
      <c r="I38" s="20" t="s">
        <v>1674</v>
      </c>
      <c r="J38" s="20" t="s">
        <v>132</v>
      </c>
      <c r="K38" s="20"/>
      <c r="L38" s="23" t="str">
        <f>HYPERLINK("http://slimages.macys.com/is/image/MCY/9854982 ")</f>
        <v xml:space="preserve">http://slimages.macys.com/is/image/MCY/9854982 </v>
      </c>
    </row>
    <row r="39" spans="1:12" ht="39.950000000000003" customHeight="1" x14ac:dyDescent="0.25">
      <c r="A39" s="19" t="s">
        <v>3744</v>
      </c>
      <c r="B39" s="20" t="s">
        <v>3745</v>
      </c>
      <c r="C39" s="21">
        <v>1</v>
      </c>
      <c r="D39" s="22">
        <v>20.99</v>
      </c>
      <c r="E39" s="21">
        <v>53456</v>
      </c>
      <c r="F39" s="20" t="s">
        <v>555</v>
      </c>
      <c r="G39" s="19" t="s">
        <v>2308</v>
      </c>
      <c r="H39" s="20" t="s">
        <v>745</v>
      </c>
      <c r="I39" s="20" t="s">
        <v>1630</v>
      </c>
      <c r="J39" s="20" t="s">
        <v>20</v>
      </c>
      <c r="K39" s="20" t="s">
        <v>396</v>
      </c>
      <c r="L39" s="23" t="str">
        <f>HYPERLINK("http://slimages.macys.com/is/image/MCY/10010133 ")</f>
        <v xml:space="preserve">http://slimages.macys.com/is/image/MCY/10010133 </v>
      </c>
    </row>
    <row r="40" spans="1:12" ht="39.950000000000003" customHeight="1" x14ac:dyDescent="0.25">
      <c r="A40" s="19" t="s">
        <v>3746</v>
      </c>
      <c r="B40" s="20" t="s">
        <v>3747</v>
      </c>
      <c r="C40" s="21">
        <v>4</v>
      </c>
      <c r="D40" s="22">
        <v>16.989999999999998</v>
      </c>
      <c r="E40" s="21">
        <v>44030</v>
      </c>
      <c r="F40" s="20" t="s">
        <v>628</v>
      </c>
      <c r="G40" s="19" t="s">
        <v>2308</v>
      </c>
      <c r="H40" s="20" t="s">
        <v>745</v>
      </c>
      <c r="I40" s="20" t="s">
        <v>1630</v>
      </c>
      <c r="J40" s="20" t="s">
        <v>20</v>
      </c>
      <c r="K40" s="20" t="s">
        <v>396</v>
      </c>
      <c r="L40" s="23" t="str">
        <f>HYPERLINK("http://slimages.macys.com/is/image/MCY/10010133 ")</f>
        <v xml:space="preserve">http://slimages.macys.com/is/image/MCY/10010133 </v>
      </c>
    </row>
    <row r="41" spans="1:12" ht="39.950000000000003" customHeight="1" x14ac:dyDescent="0.25">
      <c r="A41" s="19" t="s">
        <v>3748</v>
      </c>
      <c r="B41" s="20" t="s">
        <v>3749</v>
      </c>
      <c r="C41" s="21">
        <v>1</v>
      </c>
      <c r="D41" s="22">
        <v>16.989999999999998</v>
      </c>
      <c r="E41" s="21">
        <v>1006327100</v>
      </c>
      <c r="F41" s="20" t="s">
        <v>610</v>
      </c>
      <c r="G41" s="19" t="s">
        <v>954</v>
      </c>
      <c r="H41" s="20" t="s">
        <v>916</v>
      </c>
      <c r="I41" s="20" t="s">
        <v>917</v>
      </c>
      <c r="J41" s="20" t="s">
        <v>20</v>
      </c>
      <c r="K41" s="20" t="s">
        <v>798</v>
      </c>
      <c r="L41" s="23" t="str">
        <f>HYPERLINK("http://slimages.macys.com/is/image/MCY/13469602 ")</f>
        <v xml:space="preserve">http://slimages.macys.com/is/image/MCY/13469602 </v>
      </c>
    </row>
    <row r="42" spans="1:12" ht="39.950000000000003" customHeight="1" x14ac:dyDescent="0.25">
      <c r="A42" s="19" t="s">
        <v>3750</v>
      </c>
      <c r="B42" s="20" t="s">
        <v>3751</v>
      </c>
      <c r="C42" s="21">
        <v>1</v>
      </c>
      <c r="D42" s="22">
        <v>19.989999999999998</v>
      </c>
      <c r="E42" s="21" t="s">
        <v>3752</v>
      </c>
      <c r="F42" s="20" t="s">
        <v>89</v>
      </c>
      <c r="G42" s="19"/>
      <c r="H42" s="20" t="s">
        <v>2711</v>
      </c>
      <c r="I42" s="20" t="s">
        <v>2712</v>
      </c>
      <c r="J42" s="20" t="s">
        <v>110</v>
      </c>
      <c r="K42" s="20" t="s">
        <v>2713</v>
      </c>
      <c r="L42" s="23" t="str">
        <f>HYPERLINK("http://slimages.macys.com/is/image/MCY/9898874 ")</f>
        <v xml:space="preserve">http://slimages.macys.com/is/image/MCY/9898874 </v>
      </c>
    </row>
    <row r="43" spans="1:12" ht="39.950000000000003" customHeight="1" x14ac:dyDescent="0.25">
      <c r="A43" s="19" t="s">
        <v>3753</v>
      </c>
      <c r="B43" s="20" t="s">
        <v>3754</v>
      </c>
      <c r="C43" s="21">
        <v>1</v>
      </c>
      <c r="D43" s="22">
        <v>29.99</v>
      </c>
      <c r="E43" s="21" t="s">
        <v>3372</v>
      </c>
      <c r="F43" s="20" t="s">
        <v>206</v>
      </c>
      <c r="G43" s="19"/>
      <c r="H43" s="20" t="s">
        <v>1157</v>
      </c>
      <c r="I43" s="20" t="s">
        <v>1158</v>
      </c>
      <c r="J43" s="20" t="s">
        <v>20</v>
      </c>
      <c r="K43" s="20" t="s">
        <v>341</v>
      </c>
      <c r="L43" s="23" t="str">
        <f>HYPERLINK("http://slimages.macys.com/is/image/MCY/9356962 ")</f>
        <v xml:space="preserve">http://slimages.macys.com/is/image/MCY/9356962 </v>
      </c>
    </row>
    <row r="44" spans="1:12" ht="39.950000000000003" customHeight="1" x14ac:dyDescent="0.25">
      <c r="A44" s="19" t="s">
        <v>1634</v>
      </c>
      <c r="B44" s="20" t="s">
        <v>1635</v>
      </c>
      <c r="C44" s="21">
        <v>1</v>
      </c>
      <c r="D44" s="22">
        <v>7.99</v>
      </c>
      <c r="E44" s="21" t="s">
        <v>1636</v>
      </c>
      <c r="F44" s="20" t="s">
        <v>685</v>
      </c>
      <c r="G44" s="19" t="s">
        <v>954</v>
      </c>
      <c r="H44" s="20" t="s">
        <v>940</v>
      </c>
      <c r="I44" s="20" t="s">
        <v>1166</v>
      </c>
      <c r="J44" s="20"/>
      <c r="K44" s="20"/>
      <c r="L44" s="23" t="str">
        <f>HYPERLINK("http://slimages.macys.com/is/image/MCY/17492917 ")</f>
        <v xml:space="preserve">http://slimages.macys.com/is/image/MCY/17492917 </v>
      </c>
    </row>
    <row r="45" spans="1:12" ht="39.950000000000003" customHeight="1" x14ac:dyDescent="0.25">
      <c r="A45" s="19" t="s">
        <v>1167</v>
      </c>
      <c r="B45" s="20" t="s">
        <v>1168</v>
      </c>
      <c r="C45" s="21">
        <v>1</v>
      </c>
      <c r="D45" s="22">
        <v>9.99</v>
      </c>
      <c r="E45" s="21" t="s">
        <v>1169</v>
      </c>
      <c r="F45" s="20" t="s">
        <v>89</v>
      </c>
      <c r="G45" s="19" t="s">
        <v>954</v>
      </c>
      <c r="H45" s="20" t="s">
        <v>916</v>
      </c>
      <c r="I45" s="20" t="s">
        <v>1004</v>
      </c>
      <c r="J45" s="20" t="s">
        <v>20</v>
      </c>
      <c r="K45" s="20" t="s">
        <v>798</v>
      </c>
      <c r="L45" s="23" t="str">
        <f>HYPERLINK("http://slimages.macys.com/is/image/MCY/12723168 ")</f>
        <v xml:space="preserve">http://slimages.macys.com/is/image/MCY/12723168 </v>
      </c>
    </row>
    <row r="46" spans="1:12" ht="39.950000000000003" customHeight="1" x14ac:dyDescent="0.25">
      <c r="A46" s="19" t="s">
        <v>3755</v>
      </c>
      <c r="B46" s="20" t="s">
        <v>3756</v>
      </c>
      <c r="C46" s="21">
        <v>1</v>
      </c>
      <c r="D46" s="22">
        <v>3.99</v>
      </c>
      <c r="E46" s="21" t="s">
        <v>3757</v>
      </c>
      <c r="F46" s="20" t="s">
        <v>394</v>
      </c>
      <c r="G46" s="19" t="s">
        <v>954</v>
      </c>
      <c r="H46" s="20" t="s">
        <v>940</v>
      </c>
      <c r="I46" s="20" t="s">
        <v>3758</v>
      </c>
      <c r="J46" s="20"/>
      <c r="K46" s="20"/>
      <c r="L46" s="23" t="str">
        <f>HYPERLINK("http://slimages.macys.com/is/image/MCY/18145997 ")</f>
        <v xml:space="preserve">http://slimages.macys.com/is/image/MCY/18145997 </v>
      </c>
    </row>
    <row r="47" spans="1:12" ht="39.950000000000003" customHeight="1" x14ac:dyDescent="0.25">
      <c r="A47" s="19" t="s">
        <v>3759</v>
      </c>
      <c r="B47" s="20" t="s">
        <v>3760</v>
      </c>
      <c r="C47" s="21">
        <v>1</v>
      </c>
      <c r="D47" s="22">
        <v>289.99</v>
      </c>
      <c r="E47" s="21" t="s">
        <v>3761</v>
      </c>
      <c r="F47" s="20" t="s">
        <v>89</v>
      </c>
      <c r="G47" s="19" t="s">
        <v>1486</v>
      </c>
      <c r="H47" s="20" t="s">
        <v>1854</v>
      </c>
      <c r="I47" s="20" t="s">
        <v>1709</v>
      </c>
      <c r="J47" s="20"/>
      <c r="K47" s="20"/>
      <c r="L47" s="23"/>
    </row>
    <row r="48" spans="1:12" ht="39.950000000000003" customHeight="1" x14ac:dyDescent="0.25">
      <c r="A48" s="19" t="s">
        <v>3762</v>
      </c>
      <c r="B48" s="20" t="s">
        <v>3763</v>
      </c>
      <c r="C48" s="21">
        <v>1</v>
      </c>
      <c r="D48" s="22">
        <v>0.02</v>
      </c>
      <c r="E48" s="21" t="s">
        <v>3764</v>
      </c>
      <c r="F48" s="20" t="s">
        <v>922</v>
      </c>
      <c r="G48" s="19"/>
      <c r="H48" s="20" t="s">
        <v>707</v>
      </c>
      <c r="I48" s="20" t="s">
        <v>1868</v>
      </c>
      <c r="J48" s="20"/>
      <c r="K48" s="20"/>
      <c r="L48" s="23"/>
    </row>
    <row r="49" spans="1:12" ht="39.950000000000003" customHeight="1" x14ac:dyDescent="0.25">
      <c r="A49" s="19" t="s">
        <v>3765</v>
      </c>
      <c r="B49" s="20" t="s">
        <v>3766</v>
      </c>
      <c r="C49" s="21">
        <v>1</v>
      </c>
      <c r="D49" s="22">
        <v>129.99</v>
      </c>
      <c r="E49" s="21" t="s">
        <v>3767</v>
      </c>
      <c r="F49" s="20" t="s">
        <v>274</v>
      </c>
      <c r="G49" s="19"/>
      <c r="H49" s="20" t="s">
        <v>772</v>
      </c>
      <c r="I49" s="20" t="s">
        <v>773</v>
      </c>
      <c r="J49" s="20"/>
      <c r="K49" s="20"/>
      <c r="L49" s="23"/>
    </row>
    <row r="50" spans="1:12" ht="39.950000000000003" customHeight="1" x14ac:dyDescent="0.25">
      <c r="A50" s="19" t="s">
        <v>1019</v>
      </c>
      <c r="B50" s="20" t="s">
        <v>694</v>
      </c>
      <c r="C50" s="21">
        <v>2</v>
      </c>
      <c r="D50" s="22">
        <v>40</v>
      </c>
      <c r="E50" s="21"/>
      <c r="F50" s="20" t="s">
        <v>16</v>
      </c>
      <c r="G50" s="19" t="s">
        <v>17</v>
      </c>
      <c r="H50" s="20" t="s">
        <v>695</v>
      </c>
      <c r="I50" s="20" t="s">
        <v>696</v>
      </c>
      <c r="J50" s="20"/>
      <c r="K50" s="20"/>
      <c r="L50" s="23"/>
    </row>
    <row r="51" spans="1:12" ht="39.950000000000003" customHeight="1" x14ac:dyDescent="0.25">
      <c r="A51" s="19" t="s">
        <v>3768</v>
      </c>
      <c r="B51" s="20" t="s">
        <v>3769</v>
      </c>
      <c r="C51" s="21">
        <v>1</v>
      </c>
      <c r="D51" s="22">
        <v>69.989999999999995</v>
      </c>
      <c r="E51" s="21" t="s">
        <v>3770</v>
      </c>
      <c r="F51" s="20" t="s">
        <v>89</v>
      </c>
      <c r="G51" s="19"/>
      <c r="H51" s="20" t="s">
        <v>1528</v>
      </c>
      <c r="I51" s="20" t="s">
        <v>1529</v>
      </c>
      <c r="J51" s="20"/>
      <c r="K51" s="20"/>
      <c r="L51" s="23"/>
    </row>
    <row r="52" spans="1:12" ht="39.950000000000003" customHeight="1" x14ac:dyDescent="0.25">
      <c r="A52" s="13"/>
      <c r="B52" s="14"/>
      <c r="C52" s="15"/>
      <c r="D52" s="14"/>
      <c r="E52" s="14"/>
      <c r="F52" s="14"/>
      <c r="G52" s="14"/>
    </row>
    <row r="53" spans="1:12" ht="39.950000000000003" customHeight="1" x14ac:dyDescent="0.25">
      <c r="A53" s="13"/>
      <c r="B53" s="14"/>
      <c r="C53" s="15"/>
      <c r="D53" s="14"/>
      <c r="E53" s="14"/>
      <c r="F53" s="14"/>
      <c r="G53" s="14"/>
    </row>
    <row r="54" spans="1:12" ht="39.950000000000003" customHeight="1" x14ac:dyDescent="0.25">
      <c r="A54" s="13"/>
      <c r="B54" s="14"/>
      <c r="C54" s="15"/>
      <c r="D54" s="14"/>
      <c r="E54" s="14"/>
      <c r="F54" s="14"/>
      <c r="G54" s="14"/>
    </row>
    <row r="55" spans="1:12" ht="39.950000000000003" customHeight="1" x14ac:dyDescent="0.25">
      <c r="A55" s="13"/>
      <c r="B55" s="14"/>
      <c r="C55" s="15"/>
      <c r="D55" s="14"/>
      <c r="E55" s="14"/>
      <c r="F55" s="14"/>
      <c r="G55" s="14"/>
    </row>
    <row r="56" spans="1:12" ht="39.950000000000003" customHeight="1" x14ac:dyDescent="0.25">
      <c r="A56" s="13"/>
      <c r="B56" s="14"/>
      <c r="C56" s="15"/>
      <c r="D56" s="14"/>
      <c r="E56" s="14"/>
      <c r="F56" s="14"/>
      <c r="G56" s="14"/>
    </row>
    <row r="65" ht="39.950000000000003" customHeight="1" x14ac:dyDescent="0.25"/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5"/>
  <sheetViews>
    <sheetView workbookViewId="0"/>
  </sheetViews>
  <sheetFormatPr defaultRowHeight="15" x14ac:dyDescent="0.25"/>
  <cols>
    <col min="1" max="1" width="14.28515625" customWidth="1"/>
    <col min="2" max="2" width="22.28515625" customWidth="1"/>
    <col min="3" max="3" width="15" customWidth="1"/>
    <col min="4" max="4" width="10.28515625" customWidth="1"/>
    <col min="5" max="5" width="17.140625" customWidth="1"/>
    <col min="6" max="6" width="11.42578125" customWidth="1"/>
    <col min="7" max="7" width="10.85546875" customWidth="1"/>
    <col min="8" max="8" width="12.140625" customWidth="1"/>
    <col min="9" max="9" width="36.5703125" bestFit="1" customWidth="1"/>
    <col min="10" max="11" width="20.7109375" customWidth="1"/>
    <col min="12" max="12" width="64.28515625" customWidth="1"/>
  </cols>
  <sheetData>
    <row r="1" spans="1:12" ht="39.950000000000003" customHeight="1" x14ac:dyDescent="0.25">
      <c r="A1" s="3" t="s">
        <v>2</v>
      </c>
      <c r="B1" s="3" t="s">
        <v>3</v>
      </c>
      <c r="C1" s="3" t="s">
        <v>4</v>
      </c>
      <c r="D1" s="3" t="s">
        <v>5</v>
      </c>
      <c r="E1" s="3" t="s">
        <v>6</v>
      </c>
      <c r="F1" s="3" t="s">
        <v>7</v>
      </c>
      <c r="G1" s="3" t="s">
        <v>8</v>
      </c>
      <c r="H1" s="3" t="s">
        <v>9</v>
      </c>
      <c r="I1" s="3" t="s">
        <v>10</v>
      </c>
      <c r="J1" s="3" t="s">
        <v>11</v>
      </c>
      <c r="K1" s="3" t="s">
        <v>12</v>
      </c>
      <c r="L1" s="3" t="s">
        <v>13</v>
      </c>
    </row>
    <row r="2" spans="1:12" ht="39.950000000000003" customHeight="1" x14ac:dyDescent="0.25">
      <c r="A2" s="4" t="s">
        <v>3395</v>
      </c>
      <c r="B2" s="5" t="s">
        <v>3396</v>
      </c>
      <c r="C2" s="6">
        <v>1</v>
      </c>
      <c r="D2" s="7">
        <v>339.99</v>
      </c>
      <c r="E2" s="6">
        <v>61224</v>
      </c>
      <c r="F2" s="5" t="s">
        <v>89</v>
      </c>
      <c r="G2" s="8"/>
      <c r="H2" s="5" t="s">
        <v>782</v>
      </c>
      <c r="I2" s="5" t="s">
        <v>835</v>
      </c>
      <c r="J2" s="5" t="s">
        <v>20</v>
      </c>
      <c r="K2" s="5" t="s">
        <v>3397</v>
      </c>
      <c r="L2" s="9" t="str">
        <f>HYPERLINK("http://slimages.macys.com/is/image/MCY/15866492 ")</f>
        <v xml:space="preserve">http://slimages.macys.com/is/image/MCY/15866492 </v>
      </c>
    </row>
    <row r="3" spans="1:12" ht="39.950000000000003" customHeight="1" x14ac:dyDescent="0.25">
      <c r="A3" s="4" t="s">
        <v>3771</v>
      </c>
      <c r="B3" s="5" t="s">
        <v>3772</v>
      </c>
      <c r="C3" s="6">
        <v>1</v>
      </c>
      <c r="D3" s="7">
        <v>299.99</v>
      </c>
      <c r="E3" s="6" t="s">
        <v>3773</v>
      </c>
      <c r="F3" s="5" t="s">
        <v>89</v>
      </c>
      <c r="G3" s="8"/>
      <c r="H3" s="5" t="s">
        <v>707</v>
      </c>
      <c r="I3" s="5" t="s">
        <v>1110</v>
      </c>
      <c r="J3" s="5" t="s">
        <v>20</v>
      </c>
      <c r="K3" s="5" t="s">
        <v>1652</v>
      </c>
      <c r="L3" s="9" t="str">
        <f>HYPERLINK("http://slimages.macys.com/is/image/MCY/12898925 ")</f>
        <v xml:space="preserve">http://slimages.macys.com/is/image/MCY/12898925 </v>
      </c>
    </row>
    <row r="4" spans="1:12" ht="39.950000000000003" customHeight="1" x14ac:dyDescent="0.25">
      <c r="A4" s="4" t="s">
        <v>3774</v>
      </c>
      <c r="B4" s="5" t="s">
        <v>2278</v>
      </c>
      <c r="C4" s="6">
        <v>1</v>
      </c>
      <c r="D4" s="7">
        <v>449.99</v>
      </c>
      <c r="E4" s="6" t="s">
        <v>3775</v>
      </c>
      <c r="F4" s="5" t="s">
        <v>89</v>
      </c>
      <c r="G4" s="8"/>
      <c r="H4" s="5" t="s">
        <v>707</v>
      </c>
      <c r="I4" s="5" t="s">
        <v>730</v>
      </c>
      <c r="J4" s="5" t="s">
        <v>20</v>
      </c>
      <c r="K4" s="5"/>
      <c r="L4" s="9" t="str">
        <f>HYPERLINK("http://slimages.macys.com/is/image/MCY/16686404 ")</f>
        <v xml:space="preserve">http://slimages.macys.com/is/image/MCY/16686404 </v>
      </c>
    </row>
    <row r="5" spans="1:12" ht="39.950000000000003" customHeight="1" x14ac:dyDescent="0.25">
      <c r="A5" s="4" t="s">
        <v>3776</v>
      </c>
      <c r="B5" s="5" t="s">
        <v>3777</v>
      </c>
      <c r="C5" s="6">
        <v>1</v>
      </c>
      <c r="D5" s="7">
        <v>279.99</v>
      </c>
      <c r="E5" s="6" t="s">
        <v>3778</v>
      </c>
      <c r="F5" s="5" t="s">
        <v>628</v>
      </c>
      <c r="G5" s="8"/>
      <c r="H5" s="5" t="s">
        <v>707</v>
      </c>
      <c r="I5" s="5" t="s">
        <v>874</v>
      </c>
      <c r="J5" s="5" t="s">
        <v>20</v>
      </c>
      <c r="K5" s="5" t="s">
        <v>3779</v>
      </c>
      <c r="L5" s="9" t="str">
        <f>HYPERLINK("http://slimages.macys.com/is/image/MCY/15767044 ")</f>
        <v xml:space="preserve">http://slimages.macys.com/is/image/MCY/15767044 </v>
      </c>
    </row>
    <row r="6" spans="1:12" ht="39.950000000000003" customHeight="1" x14ac:dyDescent="0.25">
      <c r="A6" s="4" t="s">
        <v>3780</v>
      </c>
      <c r="B6" s="5" t="s">
        <v>3781</v>
      </c>
      <c r="C6" s="6">
        <v>1</v>
      </c>
      <c r="D6" s="7">
        <v>249.99</v>
      </c>
      <c r="E6" s="6" t="s">
        <v>3782</v>
      </c>
      <c r="F6" s="5" t="s">
        <v>89</v>
      </c>
      <c r="G6" s="8"/>
      <c r="H6" s="5" t="s">
        <v>707</v>
      </c>
      <c r="I6" s="5" t="s">
        <v>874</v>
      </c>
      <c r="J6" s="5"/>
      <c r="K6" s="5"/>
      <c r="L6" s="9" t="str">
        <f>HYPERLINK("http://slimages.macys.com/is/image/MCY/18173139 ")</f>
        <v xml:space="preserve">http://slimages.macys.com/is/image/MCY/18173139 </v>
      </c>
    </row>
    <row r="7" spans="1:12" ht="39.950000000000003" customHeight="1" x14ac:dyDescent="0.25">
      <c r="A7" s="4" t="s">
        <v>3041</v>
      </c>
      <c r="B7" s="5" t="s">
        <v>3042</v>
      </c>
      <c r="C7" s="6">
        <v>1</v>
      </c>
      <c r="D7" s="7">
        <v>199.99</v>
      </c>
      <c r="E7" s="6" t="s">
        <v>3043</v>
      </c>
      <c r="F7" s="5" t="s">
        <v>922</v>
      </c>
      <c r="G7" s="8"/>
      <c r="H7" s="5" t="s">
        <v>707</v>
      </c>
      <c r="I7" s="5" t="s">
        <v>874</v>
      </c>
      <c r="J7" s="5" t="s">
        <v>20</v>
      </c>
      <c r="K7" s="5"/>
      <c r="L7" s="9" t="str">
        <f>HYPERLINK("http://slimages.macys.com/is/image/MCY/10467368 ")</f>
        <v xml:space="preserve">http://slimages.macys.com/is/image/MCY/10467368 </v>
      </c>
    </row>
    <row r="8" spans="1:12" ht="39.950000000000003" customHeight="1" x14ac:dyDescent="0.25">
      <c r="A8" s="4" t="s">
        <v>3783</v>
      </c>
      <c r="B8" s="5" t="s">
        <v>3784</v>
      </c>
      <c r="C8" s="6">
        <v>1</v>
      </c>
      <c r="D8" s="7">
        <v>149.99</v>
      </c>
      <c r="E8" s="6" t="s">
        <v>3785</v>
      </c>
      <c r="F8" s="5" t="s">
        <v>483</v>
      </c>
      <c r="G8" s="8" t="s">
        <v>3786</v>
      </c>
      <c r="H8" s="5" t="s">
        <v>831</v>
      </c>
      <c r="I8" s="5" t="s">
        <v>2792</v>
      </c>
      <c r="J8" s="5"/>
      <c r="K8" s="5"/>
      <c r="L8" s="9" t="str">
        <f>HYPERLINK("http://slimages.macys.com/is/image/MCY/17143350 ")</f>
        <v xml:space="preserve">http://slimages.macys.com/is/image/MCY/17143350 </v>
      </c>
    </row>
    <row r="9" spans="1:12" ht="39.950000000000003" customHeight="1" x14ac:dyDescent="0.25">
      <c r="A9" s="4" t="s">
        <v>3787</v>
      </c>
      <c r="B9" s="5" t="s">
        <v>3788</v>
      </c>
      <c r="C9" s="6">
        <v>1</v>
      </c>
      <c r="D9" s="7">
        <v>134.99</v>
      </c>
      <c r="E9" s="6" t="s">
        <v>3789</v>
      </c>
      <c r="F9" s="5" t="s">
        <v>89</v>
      </c>
      <c r="G9" s="8"/>
      <c r="H9" s="5" t="s">
        <v>1644</v>
      </c>
      <c r="I9" s="5" t="s">
        <v>746</v>
      </c>
      <c r="J9" s="5" t="s">
        <v>20</v>
      </c>
      <c r="K9" s="5" t="s">
        <v>3790</v>
      </c>
      <c r="L9" s="9" t="str">
        <f>HYPERLINK("http://slimages.macys.com/is/image/MCY/9950611 ")</f>
        <v xml:space="preserve">http://slimages.macys.com/is/image/MCY/9950611 </v>
      </c>
    </row>
    <row r="10" spans="1:12" ht="39.950000000000003" customHeight="1" x14ac:dyDescent="0.25">
      <c r="A10" s="4" t="s">
        <v>3791</v>
      </c>
      <c r="B10" s="5" t="s">
        <v>3792</v>
      </c>
      <c r="C10" s="6">
        <v>1</v>
      </c>
      <c r="D10" s="7">
        <v>119.99</v>
      </c>
      <c r="E10" s="6" t="s">
        <v>3793</v>
      </c>
      <c r="F10" s="5" t="s">
        <v>2055</v>
      </c>
      <c r="G10" s="8"/>
      <c r="H10" s="5" t="s">
        <v>1528</v>
      </c>
      <c r="I10" s="5" t="s">
        <v>1529</v>
      </c>
      <c r="J10" s="5"/>
      <c r="K10" s="5"/>
      <c r="L10" s="9" t="str">
        <f>HYPERLINK("http://slimages.macys.com/is/image/MCY/16903195 ")</f>
        <v xml:space="preserve">http://slimages.macys.com/is/image/MCY/16903195 </v>
      </c>
    </row>
    <row r="11" spans="1:12" ht="39.950000000000003" customHeight="1" x14ac:dyDescent="0.25">
      <c r="A11" s="4" t="s">
        <v>3794</v>
      </c>
      <c r="B11" s="5" t="s">
        <v>3795</v>
      </c>
      <c r="C11" s="6">
        <v>1</v>
      </c>
      <c r="D11" s="7">
        <v>109.99</v>
      </c>
      <c r="E11" s="6" t="s">
        <v>3796</v>
      </c>
      <c r="F11" s="5" t="s">
        <v>566</v>
      </c>
      <c r="G11" s="8"/>
      <c r="H11" s="5" t="s">
        <v>734</v>
      </c>
      <c r="I11" s="5" t="s">
        <v>3057</v>
      </c>
      <c r="J11" s="5" t="s">
        <v>20</v>
      </c>
      <c r="K11" s="5" t="s">
        <v>396</v>
      </c>
      <c r="L11" s="9" t="str">
        <f>HYPERLINK("http://slimages.macys.com/is/image/MCY/12846647 ")</f>
        <v xml:space="preserve">http://slimages.macys.com/is/image/MCY/12846647 </v>
      </c>
    </row>
    <row r="12" spans="1:12" ht="39.950000000000003" customHeight="1" x14ac:dyDescent="0.25">
      <c r="A12" s="4" t="s">
        <v>1889</v>
      </c>
      <c r="B12" s="5" t="s">
        <v>1890</v>
      </c>
      <c r="C12" s="6">
        <v>1</v>
      </c>
      <c r="D12" s="7">
        <v>149.99</v>
      </c>
      <c r="E12" s="6" t="s">
        <v>1891</v>
      </c>
      <c r="F12" s="5" t="s">
        <v>89</v>
      </c>
      <c r="G12" s="8"/>
      <c r="H12" s="5" t="s">
        <v>739</v>
      </c>
      <c r="I12" s="5" t="s">
        <v>1561</v>
      </c>
      <c r="J12" s="5" t="s">
        <v>20</v>
      </c>
      <c r="K12" s="5" t="s">
        <v>341</v>
      </c>
      <c r="L12" s="9" t="str">
        <f>HYPERLINK("http://slimages.macys.com/is/image/MCY/8905437 ")</f>
        <v xml:space="preserve">http://slimages.macys.com/is/image/MCY/8905437 </v>
      </c>
    </row>
    <row r="13" spans="1:12" ht="39.950000000000003" customHeight="1" x14ac:dyDescent="0.25">
      <c r="A13" s="4" t="s">
        <v>3797</v>
      </c>
      <c r="B13" s="5" t="s">
        <v>3798</v>
      </c>
      <c r="C13" s="6">
        <v>2</v>
      </c>
      <c r="D13" s="7">
        <v>199.98</v>
      </c>
      <c r="E13" s="6" t="s">
        <v>3799</v>
      </c>
      <c r="F13" s="5" t="s">
        <v>2055</v>
      </c>
      <c r="G13" s="8"/>
      <c r="H13" s="5" t="s">
        <v>772</v>
      </c>
      <c r="I13" s="5" t="s">
        <v>773</v>
      </c>
      <c r="J13" s="5" t="s">
        <v>20</v>
      </c>
      <c r="K13" s="5"/>
      <c r="L13" s="9" t="str">
        <f>HYPERLINK("http://slimages.macys.com/is/image/MCY/11534834 ")</f>
        <v xml:space="preserve">http://slimages.macys.com/is/image/MCY/11534834 </v>
      </c>
    </row>
    <row r="14" spans="1:12" ht="39.950000000000003" customHeight="1" x14ac:dyDescent="0.25">
      <c r="A14" s="4" t="s">
        <v>3800</v>
      </c>
      <c r="B14" s="5" t="s">
        <v>3801</v>
      </c>
      <c r="C14" s="6">
        <v>1</v>
      </c>
      <c r="D14" s="7">
        <v>139.99</v>
      </c>
      <c r="E14" s="6" t="s">
        <v>3802</v>
      </c>
      <c r="F14" s="5" t="s">
        <v>555</v>
      </c>
      <c r="G14" s="8" t="s">
        <v>1486</v>
      </c>
      <c r="H14" s="5" t="s">
        <v>739</v>
      </c>
      <c r="I14" s="5" t="s">
        <v>1561</v>
      </c>
      <c r="J14" s="5" t="s">
        <v>20</v>
      </c>
      <c r="K14" s="5"/>
      <c r="L14" s="9" t="str">
        <f>HYPERLINK("http://slimages.macys.com/is/image/MCY/16384053 ")</f>
        <v xml:space="preserve">http://slimages.macys.com/is/image/MCY/16384053 </v>
      </c>
    </row>
    <row r="15" spans="1:12" ht="39.950000000000003" customHeight="1" x14ac:dyDescent="0.25">
      <c r="A15" s="4" t="s">
        <v>3803</v>
      </c>
      <c r="B15" s="5" t="s">
        <v>3804</v>
      </c>
      <c r="C15" s="6">
        <v>1</v>
      </c>
      <c r="D15" s="7">
        <v>99.99</v>
      </c>
      <c r="E15" s="6" t="s">
        <v>3805</v>
      </c>
      <c r="F15" s="5" t="s">
        <v>674</v>
      </c>
      <c r="G15" s="8"/>
      <c r="H15" s="5" t="s">
        <v>772</v>
      </c>
      <c r="I15" s="5" t="s">
        <v>773</v>
      </c>
      <c r="J15" s="5" t="s">
        <v>20</v>
      </c>
      <c r="K15" s="5"/>
      <c r="L15" s="9" t="str">
        <f>HYPERLINK("http://slimages.macys.com/is/image/MCY/13689104 ")</f>
        <v xml:space="preserve">http://slimages.macys.com/is/image/MCY/13689104 </v>
      </c>
    </row>
    <row r="16" spans="1:12" ht="39.950000000000003" customHeight="1" x14ac:dyDescent="0.25">
      <c r="A16" s="4" t="s">
        <v>1684</v>
      </c>
      <c r="B16" s="5" t="s">
        <v>1685</v>
      </c>
      <c r="C16" s="6">
        <v>1</v>
      </c>
      <c r="D16" s="7">
        <v>164.99</v>
      </c>
      <c r="E16" s="6" t="s">
        <v>1686</v>
      </c>
      <c r="F16" s="5" t="s">
        <v>89</v>
      </c>
      <c r="G16" s="8" t="s">
        <v>1687</v>
      </c>
      <c r="H16" s="5" t="s">
        <v>707</v>
      </c>
      <c r="I16" s="5" t="s">
        <v>730</v>
      </c>
      <c r="J16" s="5" t="s">
        <v>20</v>
      </c>
      <c r="K16" s="5" t="s">
        <v>846</v>
      </c>
      <c r="L16" s="9" t="str">
        <f>HYPERLINK("http://slimages.macys.com/is/image/MCY/8182285 ")</f>
        <v xml:space="preserve">http://slimages.macys.com/is/image/MCY/8182285 </v>
      </c>
    </row>
    <row r="17" spans="1:12" ht="39.950000000000003" customHeight="1" x14ac:dyDescent="0.25">
      <c r="A17" s="4" t="s">
        <v>3806</v>
      </c>
      <c r="B17" s="5" t="s">
        <v>3807</v>
      </c>
      <c r="C17" s="6">
        <v>1</v>
      </c>
      <c r="D17" s="7">
        <v>119.99</v>
      </c>
      <c r="E17" s="6" t="s">
        <v>3808</v>
      </c>
      <c r="F17" s="5" t="s">
        <v>610</v>
      </c>
      <c r="G17" s="8"/>
      <c r="H17" s="5" t="s">
        <v>739</v>
      </c>
      <c r="I17" s="5" t="s">
        <v>1561</v>
      </c>
      <c r="J17" s="5" t="s">
        <v>20</v>
      </c>
      <c r="K17" s="5" t="s">
        <v>3809</v>
      </c>
      <c r="L17" s="9" t="str">
        <f>HYPERLINK("http://slimages.macys.com/is/image/MCY/16143905 ")</f>
        <v xml:space="preserve">http://slimages.macys.com/is/image/MCY/16143905 </v>
      </c>
    </row>
    <row r="18" spans="1:12" ht="39.950000000000003" customHeight="1" x14ac:dyDescent="0.25">
      <c r="A18" s="4" t="s">
        <v>3810</v>
      </c>
      <c r="B18" s="5" t="s">
        <v>3811</v>
      </c>
      <c r="C18" s="6">
        <v>1</v>
      </c>
      <c r="D18" s="7">
        <v>55.99</v>
      </c>
      <c r="E18" s="6" t="s">
        <v>3812</v>
      </c>
      <c r="F18" s="5" t="s">
        <v>555</v>
      </c>
      <c r="G18" s="8"/>
      <c r="H18" s="5" t="s">
        <v>745</v>
      </c>
      <c r="I18" s="5" t="s">
        <v>746</v>
      </c>
      <c r="J18" s="5" t="s">
        <v>20</v>
      </c>
      <c r="K18" s="5" t="s">
        <v>396</v>
      </c>
      <c r="L18" s="9" t="str">
        <f>HYPERLINK("http://slimages.macys.com/is/image/MCY/9775066 ")</f>
        <v xml:space="preserve">http://slimages.macys.com/is/image/MCY/9775066 </v>
      </c>
    </row>
    <row r="19" spans="1:12" ht="39.950000000000003" customHeight="1" x14ac:dyDescent="0.25">
      <c r="A19" s="4" t="s">
        <v>3813</v>
      </c>
      <c r="B19" s="5" t="s">
        <v>3814</v>
      </c>
      <c r="C19" s="6">
        <v>1</v>
      </c>
      <c r="D19" s="7">
        <v>99.99</v>
      </c>
      <c r="E19" s="6" t="s">
        <v>3815</v>
      </c>
      <c r="F19" s="5" t="s">
        <v>483</v>
      </c>
      <c r="G19" s="8"/>
      <c r="H19" s="5" t="s">
        <v>707</v>
      </c>
      <c r="I19" s="5" t="s">
        <v>874</v>
      </c>
      <c r="J19" s="5" t="s">
        <v>20</v>
      </c>
      <c r="K19" s="5" t="s">
        <v>3816</v>
      </c>
      <c r="L19" s="9" t="str">
        <f>HYPERLINK("http://slimages.macys.com/is/image/MCY/15884866 ")</f>
        <v xml:space="preserve">http://slimages.macys.com/is/image/MCY/15884866 </v>
      </c>
    </row>
    <row r="20" spans="1:12" ht="39.950000000000003" customHeight="1" x14ac:dyDescent="0.25">
      <c r="A20" s="4" t="s">
        <v>3817</v>
      </c>
      <c r="B20" s="5" t="s">
        <v>3818</v>
      </c>
      <c r="C20" s="6">
        <v>1</v>
      </c>
      <c r="D20" s="7">
        <v>139.99</v>
      </c>
      <c r="E20" s="6" t="s">
        <v>3819</v>
      </c>
      <c r="F20" s="5" t="s">
        <v>206</v>
      </c>
      <c r="G20" s="8" t="s">
        <v>3820</v>
      </c>
      <c r="H20" s="5" t="s">
        <v>707</v>
      </c>
      <c r="I20" s="5" t="s">
        <v>730</v>
      </c>
      <c r="J20" s="5" t="s">
        <v>20</v>
      </c>
      <c r="K20" s="5" t="s">
        <v>846</v>
      </c>
      <c r="L20" s="9" t="str">
        <f>HYPERLINK("http://slimages.macys.com/is/image/MCY/8182285 ")</f>
        <v xml:space="preserve">http://slimages.macys.com/is/image/MCY/8182285 </v>
      </c>
    </row>
    <row r="21" spans="1:12" ht="39.950000000000003" customHeight="1" x14ac:dyDescent="0.25">
      <c r="A21" s="4" t="s">
        <v>3821</v>
      </c>
      <c r="B21" s="5" t="s">
        <v>3822</v>
      </c>
      <c r="C21" s="6">
        <v>1</v>
      </c>
      <c r="D21" s="7">
        <v>49.99</v>
      </c>
      <c r="E21" s="6">
        <v>22362338</v>
      </c>
      <c r="F21" s="5" t="s">
        <v>394</v>
      </c>
      <c r="G21" s="8"/>
      <c r="H21" s="5" t="s">
        <v>718</v>
      </c>
      <c r="I21" s="5" t="s">
        <v>1092</v>
      </c>
      <c r="J21" s="5"/>
      <c r="K21" s="5"/>
      <c r="L21" s="9" t="str">
        <f>HYPERLINK("http://slimages.macys.com/is/image/MCY/17191785 ")</f>
        <v xml:space="preserve">http://slimages.macys.com/is/image/MCY/17191785 </v>
      </c>
    </row>
    <row r="22" spans="1:12" ht="39.950000000000003" customHeight="1" x14ac:dyDescent="0.25">
      <c r="A22" s="4" t="s">
        <v>3823</v>
      </c>
      <c r="B22" s="5" t="s">
        <v>3824</v>
      </c>
      <c r="C22" s="6">
        <v>1</v>
      </c>
      <c r="D22" s="7">
        <v>59.99</v>
      </c>
      <c r="E22" s="6">
        <v>21477122</v>
      </c>
      <c r="F22" s="5" t="s">
        <v>755</v>
      </c>
      <c r="G22" s="8"/>
      <c r="H22" s="5" t="s">
        <v>712</v>
      </c>
      <c r="I22" s="5" t="s">
        <v>1092</v>
      </c>
      <c r="J22" s="5" t="s">
        <v>20</v>
      </c>
      <c r="K22" s="5" t="s">
        <v>396</v>
      </c>
      <c r="L22" s="9" t="str">
        <f>HYPERLINK("http://slimages.macys.com/is/image/MCY/15396155 ")</f>
        <v xml:space="preserve">http://slimages.macys.com/is/image/MCY/15396155 </v>
      </c>
    </row>
    <row r="23" spans="1:12" ht="39.950000000000003" customHeight="1" x14ac:dyDescent="0.25">
      <c r="A23" s="4" t="s">
        <v>2963</v>
      </c>
      <c r="B23" s="5" t="s">
        <v>2964</v>
      </c>
      <c r="C23" s="6">
        <v>2</v>
      </c>
      <c r="D23" s="7">
        <v>109.98</v>
      </c>
      <c r="E23" s="6" t="s">
        <v>2965</v>
      </c>
      <c r="F23" s="5" t="s">
        <v>89</v>
      </c>
      <c r="G23" s="8" t="s">
        <v>781</v>
      </c>
      <c r="H23" s="5" t="s">
        <v>782</v>
      </c>
      <c r="I23" s="5" t="s">
        <v>1990</v>
      </c>
      <c r="J23" s="5"/>
      <c r="K23" s="5"/>
      <c r="L23" s="9" t="str">
        <f>HYPERLINK("http://slimages.macys.com/is/image/MCY/17546523 ")</f>
        <v xml:space="preserve">http://slimages.macys.com/is/image/MCY/17546523 </v>
      </c>
    </row>
    <row r="24" spans="1:12" ht="39.950000000000003" customHeight="1" x14ac:dyDescent="0.25">
      <c r="A24" s="4" t="s">
        <v>3600</v>
      </c>
      <c r="B24" s="5" t="s">
        <v>3601</v>
      </c>
      <c r="C24" s="6">
        <v>1</v>
      </c>
      <c r="D24" s="7">
        <v>49.99</v>
      </c>
      <c r="E24" s="6" t="s">
        <v>3602</v>
      </c>
      <c r="F24" s="5" t="s">
        <v>394</v>
      </c>
      <c r="G24" s="8"/>
      <c r="H24" s="5" t="s">
        <v>712</v>
      </c>
      <c r="I24" s="5" t="s">
        <v>1092</v>
      </c>
      <c r="J24" s="5" t="s">
        <v>20</v>
      </c>
      <c r="K24" s="5" t="s">
        <v>396</v>
      </c>
      <c r="L24" s="9" t="str">
        <f>HYPERLINK("http://slimages.macys.com/is/image/MCY/8347198 ")</f>
        <v xml:space="preserve">http://slimages.macys.com/is/image/MCY/8347198 </v>
      </c>
    </row>
    <row r="25" spans="1:12" ht="39.950000000000003" customHeight="1" x14ac:dyDescent="0.25">
      <c r="A25" s="4" t="s">
        <v>3825</v>
      </c>
      <c r="B25" s="5" t="s">
        <v>3826</v>
      </c>
      <c r="C25" s="6">
        <v>1</v>
      </c>
      <c r="D25" s="7">
        <v>49.99</v>
      </c>
      <c r="E25" s="6">
        <v>20553122</v>
      </c>
      <c r="F25" s="5"/>
      <c r="G25" s="8"/>
      <c r="H25" s="5" t="s">
        <v>712</v>
      </c>
      <c r="I25" s="5" t="s">
        <v>1092</v>
      </c>
      <c r="J25" s="5" t="s">
        <v>132</v>
      </c>
      <c r="K25" s="5" t="s">
        <v>1093</v>
      </c>
      <c r="L25" s="9" t="str">
        <f>HYPERLINK("http://slimages.macys.com/is/image/MCY/11707586 ")</f>
        <v xml:space="preserve">http://slimages.macys.com/is/image/MCY/11707586 </v>
      </c>
    </row>
    <row r="26" spans="1:12" ht="39.950000000000003" customHeight="1" x14ac:dyDescent="0.25">
      <c r="A26" s="4" t="s">
        <v>3827</v>
      </c>
      <c r="B26" s="5" t="s">
        <v>3828</v>
      </c>
      <c r="C26" s="6">
        <v>1</v>
      </c>
      <c r="D26" s="7">
        <v>49.99</v>
      </c>
      <c r="E26" s="6" t="s">
        <v>3829</v>
      </c>
      <c r="F26" s="5"/>
      <c r="G26" s="8"/>
      <c r="H26" s="5" t="s">
        <v>712</v>
      </c>
      <c r="I26" s="5" t="s">
        <v>1576</v>
      </c>
      <c r="J26" s="5"/>
      <c r="K26" s="5"/>
      <c r="L26" s="9" t="str">
        <f>HYPERLINK("http://slimages.macys.com/is/image/MCY/17088229 ")</f>
        <v xml:space="preserve">http://slimages.macys.com/is/image/MCY/17088229 </v>
      </c>
    </row>
    <row r="27" spans="1:12" ht="39.950000000000003" customHeight="1" x14ac:dyDescent="0.25">
      <c r="A27" s="4" t="s">
        <v>3830</v>
      </c>
      <c r="B27" s="5" t="s">
        <v>3831</v>
      </c>
      <c r="C27" s="6">
        <v>1</v>
      </c>
      <c r="D27" s="7">
        <v>79.989999999999995</v>
      </c>
      <c r="E27" s="6" t="s">
        <v>3832</v>
      </c>
      <c r="F27" s="5" t="s">
        <v>89</v>
      </c>
      <c r="G27" s="8"/>
      <c r="H27" s="5" t="s">
        <v>707</v>
      </c>
      <c r="I27" s="5" t="s">
        <v>1110</v>
      </c>
      <c r="J27" s="5" t="s">
        <v>20</v>
      </c>
      <c r="K27" s="5"/>
      <c r="L27" s="9" t="str">
        <f>HYPERLINK("http://slimages.macys.com/is/image/MCY/13042981 ")</f>
        <v xml:space="preserve">http://slimages.macys.com/is/image/MCY/13042981 </v>
      </c>
    </row>
    <row r="28" spans="1:12" ht="39.950000000000003" customHeight="1" x14ac:dyDescent="0.25">
      <c r="A28" s="4" t="s">
        <v>3321</v>
      </c>
      <c r="B28" s="5" t="s">
        <v>3322</v>
      </c>
      <c r="C28" s="6">
        <v>2</v>
      </c>
      <c r="D28" s="7">
        <v>79.98</v>
      </c>
      <c r="E28" s="6">
        <v>130119</v>
      </c>
      <c r="F28" s="5" t="s">
        <v>89</v>
      </c>
      <c r="G28" s="8" t="s">
        <v>1486</v>
      </c>
      <c r="H28" s="5" t="s">
        <v>1644</v>
      </c>
      <c r="I28" s="5" t="s">
        <v>2293</v>
      </c>
      <c r="J28" s="5" t="s">
        <v>20</v>
      </c>
      <c r="K28" s="5" t="s">
        <v>3323</v>
      </c>
      <c r="L28" s="9" t="str">
        <f>HYPERLINK("http://slimages.macys.com/is/image/MCY/3895749 ")</f>
        <v xml:space="preserve">http://slimages.macys.com/is/image/MCY/3895749 </v>
      </c>
    </row>
    <row r="29" spans="1:12" ht="39.950000000000003" customHeight="1" x14ac:dyDescent="0.25">
      <c r="A29" s="4" t="s">
        <v>3833</v>
      </c>
      <c r="B29" s="5" t="s">
        <v>3834</v>
      </c>
      <c r="C29" s="6">
        <v>2</v>
      </c>
      <c r="D29" s="7">
        <v>53.98</v>
      </c>
      <c r="E29" s="6" t="s">
        <v>3835</v>
      </c>
      <c r="F29" s="5" t="s">
        <v>977</v>
      </c>
      <c r="G29" s="8" t="s">
        <v>17</v>
      </c>
      <c r="H29" s="5" t="s">
        <v>765</v>
      </c>
      <c r="I29" s="5" t="s">
        <v>1722</v>
      </c>
      <c r="J29" s="5" t="s">
        <v>20</v>
      </c>
      <c r="K29" s="5" t="s">
        <v>1723</v>
      </c>
      <c r="L29" s="9" t="str">
        <f>HYPERLINK("http://slimages.macys.com/is/image/MCY/16276337 ")</f>
        <v xml:space="preserve">http://slimages.macys.com/is/image/MCY/16276337 </v>
      </c>
    </row>
    <row r="30" spans="1:12" ht="39.950000000000003" customHeight="1" x14ac:dyDescent="0.25">
      <c r="A30" s="4" t="s">
        <v>3120</v>
      </c>
      <c r="B30" s="5" t="s">
        <v>3121</v>
      </c>
      <c r="C30" s="6">
        <v>1</v>
      </c>
      <c r="D30" s="7">
        <v>39.99</v>
      </c>
      <c r="E30" s="6">
        <v>70114</v>
      </c>
      <c r="F30" s="5" t="s">
        <v>89</v>
      </c>
      <c r="G30" s="8"/>
      <c r="H30" s="5" t="s">
        <v>782</v>
      </c>
      <c r="I30" s="5" t="s">
        <v>835</v>
      </c>
      <c r="J30" s="5" t="s">
        <v>20</v>
      </c>
      <c r="K30" s="5" t="s">
        <v>836</v>
      </c>
      <c r="L30" s="9" t="str">
        <f>HYPERLINK("http://slimages.macys.com/is/image/MCY/16080633 ")</f>
        <v xml:space="preserve">http://slimages.macys.com/is/image/MCY/16080633 </v>
      </c>
    </row>
    <row r="31" spans="1:12" ht="39.950000000000003" customHeight="1" x14ac:dyDescent="0.25">
      <c r="A31" s="4" t="s">
        <v>3836</v>
      </c>
      <c r="B31" s="5" t="s">
        <v>3837</v>
      </c>
      <c r="C31" s="6">
        <v>2</v>
      </c>
      <c r="D31" s="7">
        <v>119.98</v>
      </c>
      <c r="E31" s="6" t="s">
        <v>3838</v>
      </c>
      <c r="F31" s="5" t="s">
        <v>89</v>
      </c>
      <c r="G31" s="8"/>
      <c r="H31" s="5" t="s">
        <v>707</v>
      </c>
      <c r="I31" s="5" t="s">
        <v>2513</v>
      </c>
      <c r="J31" s="5" t="s">
        <v>20</v>
      </c>
      <c r="K31" s="5" t="s">
        <v>1652</v>
      </c>
      <c r="L31" s="9" t="str">
        <f>HYPERLINK("http://slimages.macys.com/is/image/MCY/3573212 ")</f>
        <v xml:space="preserve">http://slimages.macys.com/is/image/MCY/3573212 </v>
      </c>
    </row>
    <row r="32" spans="1:12" ht="39.950000000000003" customHeight="1" x14ac:dyDescent="0.25">
      <c r="A32" s="4" t="s">
        <v>3839</v>
      </c>
      <c r="B32" s="5" t="s">
        <v>3840</v>
      </c>
      <c r="C32" s="6">
        <v>3</v>
      </c>
      <c r="D32" s="7">
        <v>44.97</v>
      </c>
      <c r="E32" s="6" t="s">
        <v>1766</v>
      </c>
      <c r="F32" s="5" t="s">
        <v>2022</v>
      </c>
      <c r="G32" s="8" t="s">
        <v>954</v>
      </c>
      <c r="H32" s="5" t="s">
        <v>916</v>
      </c>
      <c r="I32" s="5" t="s">
        <v>1561</v>
      </c>
      <c r="J32" s="5" t="s">
        <v>20</v>
      </c>
      <c r="K32" s="5" t="s">
        <v>341</v>
      </c>
      <c r="L32" s="9" t="str">
        <f>HYPERLINK("http://slimages.macys.com/is/image/MCY/11946722 ")</f>
        <v xml:space="preserve">http://slimages.macys.com/is/image/MCY/11946722 </v>
      </c>
    </row>
    <row r="33" spans="1:12" ht="39.950000000000003" customHeight="1" x14ac:dyDescent="0.25">
      <c r="A33" s="4" t="s">
        <v>3841</v>
      </c>
      <c r="B33" s="5" t="s">
        <v>3842</v>
      </c>
      <c r="C33" s="6">
        <v>1</v>
      </c>
      <c r="D33" s="7">
        <v>14.99</v>
      </c>
      <c r="E33" s="6" t="s">
        <v>1766</v>
      </c>
      <c r="F33" s="5" t="s">
        <v>685</v>
      </c>
      <c r="G33" s="8" t="s">
        <v>954</v>
      </c>
      <c r="H33" s="5" t="s">
        <v>916</v>
      </c>
      <c r="I33" s="5" t="s">
        <v>1561</v>
      </c>
      <c r="J33" s="5" t="s">
        <v>20</v>
      </c>
      <c r="K33" s="5" t="s">
        <v>341</v>
      </c>
      <c r="L33" s="9" t="str">
        <f>HYPERLINK("http://slimages.macys.com/is/image/MCY/11946722 ")</f>
        <v xml:space="preserve">http://slimages.macys.com/is/image/MCY/11946722 </v>
      </c>
    </row>
    <row r="34" spans="1:12" ht="39.950000000000003" customHeight="1" x14ac:dyDescent="0.25">
      <c r="A34" s="4" t="s">
        <v>3843</v>
      </c>
      <c r="B34" s="5" t="s">
        <v>3844</v>
      </c>
      <c r="C34" s="6">
        <v>1</v>
      </c>
      <c r="D34" s="7">
        <v>91.99</v>
      </c>
      <c r="E34" s="6" t="s">
        <v>3845</v>
      </c>
      <c r="F34" s="5" t="s">
        <v>610</v>
      </c>
      <c r="G34" s="8" t="s">
        <v>17</v>
      </c>
      <c r="H34" s="5" t="s">
        <v>712</v>
      </c>
      <c r="I34" s="5" t="s">
        <v>768</v>
      </c>
      <c r="J34" s="5"/>
      <c r="K34" s="5"/>
      <c r="L34" s="9"/>
    </row>
    <row r="35" spans="1:12" ht="39.950000000000003" customHeight="1" x14ac:dyDescent="0.25">
      <c r="A35" s="4" t="s">
        <v>1019</v>
      </c>
      <c r="B35" s="5" t="s">
        <v>694</v>
      </c>
      <c r="C35" s="6">
        <v>37</v>
      </c>
      <c r="D35" s="7">
        <v>1480</v>
      </c>
      <c r="E35" s="6"/>
      <c r="F35" s="5" t="s">
        <v>16</v>
      </c>
      <c r="G35" s="8" t="s">
        <v>17</v>
      </c>
      <c r="H35" s="5" t="s">
        <v>695</v>
      </c>
      <c r="I35" s="5" t="s">
        <v>696</v>
      </c>
      <c r="J35" s="5"/>
      <c r="K35" s="5"/>
      <c r="L35" s="9"/>
    </row>
    <row r="36" spans="1:12" ht="39.950000000000003" customHeight="1" x14ac:dyDescent="0.25">
      <c r="A36" s="4" t="s">
        <v>3846</v>
      </c>
      <c r="B36" s="5" t="s">
        <v>3847</v>
      </c>
      <c r="C36" s="6">
        <v>2</v>
      </c>
      <c r="D36" s="7">
        <v>239.98</v>
      </c>
      <c r="E36" s="6" t="s">
        <v>3848</v>
      </c>
      <c r="F36" s="5" t="s">
        <v>274</v>
      </c>
      <c r="G36" s="8"/>
      <c r="H36" s="5" t="s">
        <v>739</v>
      </c>
      <c r="I36" s="5" t="s">
        <v>1561</v>
      </c>
      <c r="J36" s="5"/>
      <c r="K36" s="5"/>
      <c r="L36" s="9"/>
    </row>
    <row r="37" spans="1:12" ht="39.950000000000003" customHeight="1" x14ac:dyDescent="0.25">
      <c r="A37" s="4" t="s">
        <v>3849</v>
      </c>
      <c r="B37" s="5" t="s">
        <v>3850</v>
      </c>
      <c r="C37" s="6">
        <v>1</v>
      </c>
      <c r="D37" s="7">
        <v>79.989999999999995</v>
      </c>
      <c r="E37" s="6" t="s">
        <v>3851</v>
      </c>
      <c r="F37" s="5" t="s">
        <v>394</v>
      </c>
      <c r="G37" s="8"/>
      <c r="H37" s="5" t="s">
        <v>772</v>
      </c>
      <c r="I37" s="5" t="s">
        <v>3537</v>
      </c>
      <c r="J37" s="5"/>
      <c r="K37" s="5"/>
      <c r="L37" s="9"/>
    </row>
    <row r="38" spans="1:12" ht="39.950000000000003" customHeight="1" x14ac:dyDescent="0.25">
      <c r="A38" s="4" t="s">
        <v>3852</v>
      </c>
      <c r="B38" s="5" t="s">
        <v>3853</v>
      </c>
      <c r="C38" s="6">
        <v>2</v>
      </c>
      <c r="D38" s="7">
        <v>99.98</v>
      </c>
      <c r="E38" s="6">
        <v>22364438</v>
      </c>
      <c r="F38" s="5" t="s">
        <v>78</v>
      </c>
      <c r="G38" s="8"/>
      <c r="H38" s="5" t="s">
        <v>718</v>
      </c>
      <c r="I38" s="5" t="s">
        <v>1092</v>
      </c>
      <c r="J38" s="5"/>
      <c r="K38" s="5"/>
      <c r="L38" s="9"/>
    </row>
    <row r="39" spans="1:12" ht="39.950000000000003" customHeight="1" x14ac:dyDescent="0.25">
      <c r="A39" s="4" t="s">
        <v>3854</v>
      </c>
      <c r="B39" s="5" t="s">
        <v>3855</v>
      </c>
      <c r="C39" s="6">
        <v>1</v>
      </c>
      <c r="D39" s="7">
        <v>29.99</v>
      </c>
      <c r="E39" s="6" t="s">
        <v>3856</v>
      </c>
      <c r="F39" s="5" t="s">
        <v>54</v>
      </c>
      <c r="G39" s="8" t="s">
        <v>899</v>
      </c>
      <c r="H39" s="5" t="s">
        <v>745</v>
      </c>
      <c r="I39" s="5" t="s">
        <v>3857</v>
      </c>
      <c r="J39" s="5"/>
      <c r="K39" s="5"/>
      <c r="L39" s="9"/>
    </row>
    <row r="40" spans="1:12" ht="39.950000000000003" customHeight="1" x14ac:dyDescent="0.25">
      <c r="A40" s="4" t="s">
        <v>3858</v>
      </c>
      <c r="B40" s="5" t="s">
        <v>3859</v>
      </c>
      <c r="C40" s="6">
        <v>1</v>
      </c>
      <c r="D40" s="7">
        <v>25.99</v>
      </c>
      <c r="E40" s="6">
        <v>1010328800</v>
      </c>
      <c r="F40" s="5" t="s">
        <v>555</v>
      </c>
      <c r="G40" s="8"/>
      <c r="H40" s="5" t="s">
        <v>2711</v>
      </c>
      <c r="I40" s="5" t="s">
        <v>3860</v>
      </c>
      <c r="J40" s="5"/>
      <c r="K40" s="5"/>
      <c r="L40" s="9"/>
    </row>
    <row r="41" spans="1:12" ht="39.950000000000003" customHeight="1" x14ac:dyDescent="0.25">
      <c r="A41" s="4"/>
      <c r="B41" s="5"/>
      <c r="C41" s="6"/>
      <c r="D41" s="7"/>
      <c r="E41" s="6"/>
      <c r="F41" s="5"/>
      <c r="G41" s="8"/>
      <c r="H41" s="5"/>
      <c r="I41" s="5"/>
      <c r="J41" s="5"/>
      <c r="K41" s="5"/>
      <c r="L41" s="9"/>
    </row>
    <row r="42" spans="1:12" ht="39.950000000000003" customHeight="1" x14ac:dyDescent="0.25">
      <c r="A42" s="4"/>
      <c r="B42" s="5"/>
      <c r="C42" s="6"/>
      <c r="D42" s="7"/>
      <c r="E42" s="6"/>
      <c r="F42" s="5"/>
      <c r="G42" s="8"/>
      <c r="H42" s="5"/>
      <c r="I42" s="5"/>
      <c r="J42" s="5"/>
      <c r="K42" s="5"/>
      <c r="L42" s="9"/>
    </row>
    <row r="43" spans="1:12" ht="39.950000000000003" customHeight="1" x14ac:dyDescent="0.25">
      <c r="A43" s="4"/>
      <c r="B43" s="5"/>
      <c r="C43" s="6"/>
      <c r="D43" s="7"/>
      <c r="E43" s="6"/>
      <c r="F43" s="5"/>
      <c r="G43" s="8"/>
      <c r="H43" s="5"/>
      <c r="I43" s="5"/>
      <c r="J43" s="5"/>
      <c r="K43" s="5"/>
      <c r="L43" s="9"/>
    </row>
    <row r="44" spans="1:12" ht="39.950000000000003" customHeight="1" x14ac:dyDescent="0.25">
      <c r="A44" s="4"/>
      <c r="B44" s="5"/>
      <c r="C44" s="6"/>
      <c r="D44" s="7"/>
      <c r="E44" s="6"/>
      <c r="F44" s="5"/>
      <c r="G44" s="8"/>
      <c r="H44" s="5"/>
      <c r="I44" s="5"/>
      <c r="J44" s="5"/>
      <c r="K44" s="5"/>
      <c r="L44" s="9"/>
    </row>
    <row r="45" spans="1:12" ht="39.950000000000003" customHeight="1" x14ac:dyDescent="0.25">
      <c r="A45" s="4"/>
      <c r="B45" s="5"/>
      <c r="C45" s="6"/>
      <c r="D45" s="7"/>
      <c r="E45" s="6"/>
      <c r="F45" s="5"/>
      <c r="G45" s="8"/>
      <c r="H45" s="5"/>
      <c r="I45" s="5"/>
      <c r="J45" s="5"/>
      <c r="K45" s="5"/>
      <c r="L45" s="9"/>
    </row>
    <row r="46" spans="1:12" ht="39.950000000000003" customHeight="1" x14ac:dyDescent="0.25">
      <c r="A46" s="4"/>
      <c r="B46" s="5"/>
      <c r="C46" s="6"/>
      <c r="D46" s="7"/>
      <c r="E46" s="6"/>
      <c r="F46" s="5"/>
      <c r="G46" s="8"/>
      <c r="H46" s="5"/>
      <c r="I46" s="5"/>
      <c r="J46" s="5"/>
      <c r="K46" s="5"/>
      <c r="L46" s="9"/>
    </row>
    <row r="47" spans="1:12" ht="39.950000000000003" customHeight="1" x14ac:dyDescent="0.25">
      <c r="A47" s="4"/>
      <c r="B47" s="5"/>
      <c r="C47" s="6"/>
      <c r="D47" s="7"/>
      <c r="E47" s="6"/>
      <c r="F47" s="5"/>
      <c r="G47" s="8"/>
      <c r="H47" s="5"/>
      <c r="I47" s="5"/>
      <c r="J47" s="5"/>
      <c r="K47" s="5"/>
      <c r="L47" s="9"/>
    </row>
    <row r="48" spans="1:12" ht="39.950000000000003" customHeight="1" x14ac:dyDescent="0.25">
      <c r="A48" s="4"/>
      <c r="B48" s="5"/>
      <c r="C48" s="6"/>
      <c r="D48" s="7"/>
      <c r="E48" s="6"/>
      <c r="F48" s="5"/>
      <c r="G48" s="8"/>
      <c r="H48" s="5"/>
      <c r="I48" s="5"/>
      <c r="J48" s="5"/>
      <c r="K48" s="5"/>
      <c r="L48" s="9"/>
    </row>
    <row r="49" spans="1:12" ht="39.950000000000003" customHeight="1" x14ac:dyDescent="0.25">
      <c r="A49" s="4"/>
      <c r="B49" s="5"/>
      <c r="C49" s="6"/>
      <c r="D49" s="7"/>
      <c r="E49" s="6"/>
      <c r="F49" s="5"/>
      <c r="G49" s="8"/>
      <c r="H49" s="5"/>
      <c r="I49" s="5"/>
      <c r="J49" s="5"/>
      <c r="K49" s="5"/>
      <c r="L49" s="9"/>
    </row>
    <row r="50" spans="1:12" ht="39.950000000000003" customHeight="1" x14ac:dyDescent="0.25">
      <c r="A50" s="4"/>
      <c r="B50" s="5"/>
      <c r="C50" s="6"/>
      <c r="D50" s="7"/>
      <c r="E50" s="6"/>
      <c r="F50" s="5"/>
      <c r="G50" s="8"/>
      <c r="H50" s="5"/>
      <c r="I50" s="5"/>
      <c r="J50" s="5"/>
      <c r="K50" s="5"/>
      <c r="L50" s="9"/>
    </row>
    <row r="51" spans="1:12" ht="39.950000000000003" customHeight="1" x14ac:dyDescent="0.25">
      <c r="A51" s="4"/>
      <c r="B51" s="5"/>
      <c r="C51" s="6"/>
      <c r="D51" s="7"/>
      <c r="E51" s="6"/>
      <c r="F51" s="5"/>
      <c r="G51" s="8"/>
      <c r="H51" s="5"/>
      <c r="I51" s="5"/>
      <c r="J51" s="5"/>
      <c r="K51" s="5"/>
      <c r="L51" s="9"/>
    </row>
    <row r="52" spans="1:12" ht="39.950000000000003" customHeight="1" x14ac:dyDescent="0.25">
      <c r="A52" s="4"/>
      <c r="B52" s="5"/>
      <c r="C52" s="6"/>
      <c r="D52" s="7"/>
      <c r="E52" s="6"/>
      <c r="F52" s="5"/>
      <c r="G52" s="8"/>
      <c r="H52" s="5"/>
      <c r="I52" s="5"/>
      <c r="J52" s="5"/>
      <c r="K52" s="5"/>
      <c r="L52" s="9"/>
    </row>
    <row r="53" spans="1:12" ht="39.950000000000003" customHeight="1" x14ac:dyDescent="0.25">
      <c r="A53" s="4"/>
      <c r="B53" s="5"/>
      <c r="C53" s="6"/>
      <c r="D53" s="7"/>
      <c r="E53" s="6"/>
      <c r="F53" s="5"/>
      <c r="G53" s="8"/>
      <c r="H53" s="5"/>
      <c r="I53" s="5"/>
      <c r="J53" s="5"/>
      <c r="K53" s="5"/>
      <c r="L53" s="9"/>
    </row>
    <row r="54" spans="1:12" ht="39.950000000000003" customHeight="1" x14ac:dyDescent="0.25">
      <c r="A54" s="4"/>
      <c r="B54" s="5"/>
      <c r="C54" s="6"/>
      <c r="D54" s="7"/>
      <c r="E54" s="6"/>
      <c r="F54" s="5"/>
      <c r="G54" s="8"/>
      <c r="H54" s="5"/>
      <c r="I54" s="5"/>
      <c r="J54" s="5"/>
      <c r="K54" s="5"/>
      <c r="L54" s="9"/>
    </row>
    <row r="55" spans="1:12" ht="39.950000000000003" customHeight="1" x14ac:dyDescent="0.25">
      <c r="A55" s="4"/>
      <c r="B55" s="5"/>
      <c r="C55" s="6"/>
      <c r="D55" s="7"/>
      <c r="E55" s="6"/>
      <c r="F55" s="5"/>
      <c r="G55" s="8"/>
      <c r="H55" s="5"/>
      <c r="I55" s="5"/>
      <c r="J55" s="5"/>
      <c r="K55" s="5"/>
      <c r="L55" s="9"/>
    </row>
    <row r="56" spans="1:12" ht="39.950000000000003" customHeight="1" x14ac:dyDescent="0.25">
      <c r="A56" s="4"/>
      <c r="B56" s="5"/>
      <c r="C56" s="6"/>
      <c r="D56" s="7"/>
      <c r="E56" s="6"/>
      <c r="F56" s="5"/>
      <c r="G56" s="8"/>
      <c r="H56" s="5"/>
      <c r="I56" s="5"/>
      <c r="J56" s="5"/>
      <c r="K56" s="5"/>
      <c r="L56" s="9"/>
    </row>
    <row r="65" ht="39.950000000000003" customHeight="1" x14ac:dyDescent="0.25"/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3"/>
  <sheetViews>
    <sheetView workbookViewId="0">
      <selection activeCell="G18" sqref="G18"/>
    </sheetView>
  </sheetViews>
  <sheetFormatPr defaultRowHeight="15" x14ac:dyDescent="0.25"/>
  <cols>
    <col min="1" max="1" width="14.28515625" customWidth="1"/>
    <col min="2" max="2" width="50.28515625" customWidth="1"/>
    <col min="3" max="3" width="15" customWidth="1"/>
    <col min="4" max="4" width="10.28515625" customWidth="1"/>
    <col min="5" max="5" width="16" customWidth="1"/>
    <col min="6" max="6" width="11.42578125" customWidth="1"/>
    <col min="7" max="7" width="10.85546875" customWidth="1"/>
    <col min="8" max="8" width="12.140625" customWidth="1"/>
    <col min="9" max="9" width="36.5703125" bestFit="1" customWidth="1"/>
    <col min="10" max="11" width="20.7109375" customWidth="1"/>
    <col min="12" max="12" width="64.28515625" customWidth="1"/>
  </cols>
  <sheetData>
    <row r="1" spans="1:12" ht="36" x14ac:dyDescent="0.25">
      <c r="A1" s="3" t="s">
        <v>2</v>
      </c>
      <c r="B1" s="3" t="s">
        <v>3</v>
      </c>
      <c r="C1" s="3" t="s">
        <v>4</v>
      </c>
      <c r="D1" s="3" t="s">
        <v>5</v>
      </c>
      <c r="E1" s="3" t="s">
        <v>6</v>
      </c>
      <c r="F1" s="3" t="s">
        <v>7</v>
      </c>
      <c r="G1" s="3" t="s">
        <v>8</v>
      </c>
      <c r="H1" s="3" t="s">
        <v>9</v>
      </c>
      <c r="I1" s="3" t="s">
        <v>10</v>
      </c>
      <c r="J1" s="3" t="s">
        <v>11</v>
      </c>
      <c r="K1" s="3" t="s">
        <v>12</v>
      </c>
      <c r="L1" s="3" t="s">
        <v>13</v>
      </c>
    </row>
    <row r="2" spans="1:12" ht="36.75" x14ac:dyDescent="0.25">
      <c r="A2" s="4" t="s">
        <v>3545</v>
      </c>
      <c r="B2" s="5" t="s">
        <v>3546</v>
      </c>
      <c r="C2" s="6">
        <v>1</v>
      </c>
      <c r="D2" s="7">
        <v>339.99</v>
      </c>
      <c r="E2" s="6" t="s">
        <v>3547</v>
      </c>
      <c r="F2" s="5" t="s">
        <v>89</v>
      </c>
      <c r="G2" s="8" t="s">
        <v>1486</v>
      </c>
      <c r="H2" s="5" t="s">
        <v>1854</v>
      </c>
      <c r="I2" s="5" t="s">
        <v>725</v>
      </c>
      <c r="J2" s="5" t="s">
        <v>20</v>
      </c>
      <c r="K2" s="5" t="s">
        <v>3548</v>
      </c>
      <c r="L2" s="9" t="str">
        <f>HYPERLINK("http://slimages.macys.com/is/image/MCY/3969345 ")</f>
        <v xml:space="preserve">http://slimages.macys.com/is/image/MCY/3969345 </v>
      </c>
    </row>
    <row r="3" spans="1:12" ht="24.75" x14ac:dyDescent="0.25">
      <c r="A3" s="4" t="s">
        <v>3861</v>
      </c>
      <c r="B3" s="5" t="s">
        <v>3862</v>
      </c>
      <c r="C3" s="6">
        <v>1</v>
      </c>
      <c r="D3" s="7">
        <v>499.99</v>
      </c>
      <c r="E3" s="6" t="s">
        <v>3863</v>
      </c>
      <c r="F3" s="5" t="s">
        <v>54</v>
      </c>
      <c r="G3" s="8"/>
      <c r="H3" s="5" t="s">
        <v>700</v>
      </c>
      <c r="I3" s="5" t="s">
        <v>840</v>
      </c>
      <c r="J3" s="5" t="s">
        <v>20</v>
      </c>
      <c r="K3" s="5" t="s">
        <v>3864</v>
      </c>
      <c r="L3" s="9" t="str">
        <f>HYPERLINK("http://slimages.macys.com/is/image/MCY/1979742 ")</f>
        <v xml:space="preserve">http://slimages.macys.com/is/image/MCY/1979742 </v>
      </c>
    </row>
    <row r="4" spans="1:12" ht="24.75" x14ac:dyDescent="0.25">
      <c r="A4" s="4" t="s">
        <v>3865</v>
      </c>
      <c r="B4" s="5" t="s">
        <v>3866</v>
      </c>
      <c r="C4" s="6">
        <v>1</v>
      </c>
      <c r="D4" s="7">
        <v>299.99</v>
      </c>
      <c r="E4" s="6" t="s">
        <v>3867</v>
      </c>
      <c r="F4" s="5" t="s">
        <v>755</v>
      </c>
      <c r="G4" s="8"/>
      <c r="H4" s="5" t="s">
        <v>831</v>
      </c>
      <c r="I4" s="5" t="s">
        <v>832</v>
      </c>
      <c r="J4" s="5"/>
      <c r="K4" s="5"/>
      <c r="L4" s="9" t="str">
        <f>HYPERLINK("http://slimages.macys.com/is/image/MCY/17144586 ")</f>
        <v xml:space="preserve">http://slimages.macys.com/is/image/MCY/17144586 </v>
      </c>
    </row>
    <row r="5" spans="1:12" ht="24.75" x14ac:dyDescent="0.25">
      <c r="A5" s="4" t="s">
        <v>3774</v>
      </c>
      <c r="B5" s="5" t="s">
        <v>2278</v>
      </c>
      <c r="C5" s="6">
        <v>1</v>
      </c>
      <c r="D5" s="7">
        <v>449.99</v>
      </c>
      <c r="E5" s="6" t="s">
        <v>3775</v>
      </c>
      <c r="F5" s="5" t="s">
        <v>89</v>
      </c>
      <c r="G5" s="8"/>
      <c r="H5" s="5" t="s">
        <v>707</v>
      </c>
      <c r="I5" s="5" t="s">
        <v>730</v>
      </c>
      <c r="J5" s="5" t="s">
        <v>20</v>
      </c>
      <c r="K5" s="5"/>
      <c r="L5" s="9" t="str">
        <f>HYPERLINK("http://slimages.macys.com/is/image/MCY/16686404 ")</f>
        <v xml:space="preserve">http://slimages.macys.com/is/image/MCY/16686404 </v>
      </c>
    </row>
    <row r="6" spans="1:12" ht="24.75" x14ac:dyDescent="0.25">
      <c r="A6" s="4" t="s">
        <v>3659</v>
      </c>
      <c r="B6" s="5" t="s">
        <v>2262</v>
      </c>
      <c r="C6" s="6">
        <v>1</v>
      </c>
      <c r="D6" s="7">
        <v>299.99</v>
      </c>
      <c r="E6" s="6" t="s">
        <v>1485</v>
      </c>
      <c r="F6" s="5" t="s">
        <v>89</v>
      </c>
      <c r="G6" s="8" t="s">
        <v>1486</v>
      </c>
      <c r="H6" s="5" t="s">
        <v>707</v>
      </c>
      <c r="I6" s="5" t="s">
        <v>730</v>
      </c>
      <c r="J6" s="5" t="s">
        <v>20</v>
      </c>
      <c r="K6" s="5" t="s">
        <v>1487</v>
      </c>
      <c r="L6" s="9" t="str">
        <f>HYPERLINK("http://slimages.macys.com/is/image/MCY/11953123 ")</f>
        <v xml:space="preserve">http://slimages.macys.com/is/image/MCY/11953123 </v>
      </c>
    </row>
    <row r="7" spans="1:12" ht="60.75" x14ac:dyDescent="0.25">
      <c r="A7" s="4" t="s">
        <v>3868</v>
      </c>
      <c r="B7" s="5" t="s">
        <v>3869</v>
      </c>
      <c r="C7" s="6">
        <v>1</v>
      </c>
      <c r="D7" s="7">
        <v>199.99</v>
      </c>
      <c r="E7" s="6" t="s">
        <v>3870</v>
      </c>
      <c r="F7" s="5" t="s">
        <v>628</v>
      </c>
      <c r="G7" s="8"/>
      <c r="H7" s="5" t="s">
        <v>707</v>
      </c>
      <c r="I7" s="5" t="s">
        <v>1110</v>
      </c>
      <c r="J7" s="5" t="s">
        <v>20</v>
      </c>
      <c r="K7" s="5" t="s">
        <v>1554</v>
      </c>
      <c r="L7" s="9" t="str">
        <f>HYPERLINK("http://slimages.macys.com/is/image/MCY/9619531 ")</f>
        <v xml:space="preserve">http://slimages.macys.com/is/image/MCY/9619531 </v>
      </c>
    </row>
    <row r="8" spans="1:12" ht="24.75" x14ac:dyDescent="0.25">
      <c r="A8" s="4" t="s">
        <v>1856</v>
      </c>
      <c r="B8" s="5" t="s">
        <v>1857</v>
      </c>
      <c r="C8" s="6">
        <v>1</v>
      </c>
      <c r="D8" s="7">
        <v>279.99</v>
      </c>
      <c r="E8" s="6" t="s">
        <v>706</v>
      </c>
      <c r="F8" s="5" t="s">
        <v>89</v>
      </c>
      <c r="G8" s="8"/>
      <c r="H8" s="5" t="s">
        <v>707</v>
      </c>
      <c r="I8" s="5" t="s">
        <v>708</v>
      </c>
      <c r="J8" s="5" t="s">
        <v>20</v>
      </c>
      <c r="K8" s="5" t="s">
        <v>330</v>
      </c>
      <c r="L8" s="9" t="str">
        <f>HYPERLINK("http://slimages.macys.com/is/image/MCY/14788488 ")</f>
        <v xml:space="preserve">http://slimages.macys.com/is/image/MCY/14788488 </v>
      </c>
    </row>
    <row r="9" spans="1:12" ht="60.75" x14ac:dyDescent="0.25">
      <c r="A9" s="4" t="s">
        <v>3871</v>
      </c>
      <c r="B9" s="5" t="s">
        <v>3872</v>
      </c>
      <c r="C9" s="6">
        <v>1</v>
      </c>
      <c r="D9" s="7">
        <v>299.99</v>
      </c>
      <c r="E9" s="6" t="s">
        <v>3873</v>
      </c>
      <c r="F9" s="5" t="s">
        <v>691</v>
      </c>
      <c r="G9" s="8"/>
      <c r="H9" s="5" t="s">
        <v>707</v>
      </c>
      <c r="I9" s="5" t="s">
        <v>1110</v>
      </c>
      <c r="J9" s="5" t="s">
        <v>20</v>
      </c>
      <c r="K9" s="5" t="s">
        <v>3874</v>
      </c>
      <c r="L9" s="9" t="str">
        <f>HYPERLINK("http://slimages.macys.com/is/image/MCY/11283530 ")</f>
        <v xml:space="preserve">http://slimages.macys.com/is/image/MCY/11283530 </v>
      </c>
    </row>
    <row r="10" spans="1:12" ht="24.75" x14ac:dyDescent="0.25">
      <c r="A10" s="4" t="s">
        <v>3875</v>
      </c>
      <c r="B10" s="5" t="s">
        <v>3876</v>
      </c>
      <c r="C10" s="6">
        <v>1</v>
      </c>
      <c r="D10" s="7">
        <v>229.99</v>
      </c>
      <c r="E10" s="6" t="s">
        <v>3877</v>
      </c>
      <c r="F10" s="5" t="s">
        <v>89</v>
      </c>
      <c r="G10" s="8"/>
      <c r="H10" s="5" t="s">
        <v>707</v>
      </c>
      <c r="I10" s="5" t="s">
        <v>708</v>
      </c>
      <c r="J10" s="5" t="s">
        <v>20</v>
      </c>
      <c r="K10" s="5" t="s">
        <v>330</v>
      </c>
      <c r="L10" s="9" t="str">
        <f>HYPERLINK("http://slimages.macys.com/is/image/MCY/14788488 ")</f>
        <v xml:space="preserve">http://slimages.macys.com/is/image/MCY/14788488 </v>
      </c>
    </row>
    <row r="11" spans="1:12" ht="24.75" x14ac:dyDescent="0.25">
      <c r="A11" s="4" t="s">
        <v>3878</v>
      </c>
      <c r="B11" s="5" t="s">
        <v>3879</v>
      </c>
      <c r="C11" s="6">
        <v>1</v>
      </c>
      <c r="D11" s="7">
        <v>299.99</v>
      </c>
      <c r="E11" s="6" t="s">
        <v>3880</v>
      </c>
      <c r="F11" s="5" t="s">
        <v>89</v>
      </c>
      <c r="G11" s="8"/>
      <c r="H11" s="5" t="s">
        <v>707</v>
      </c>
      <c r="I11" s="5" t="s">
        <v>708</v>
      </c>
      <c r="J11" s="5"/>
      <c r="K11" s="5"/>
      <c r="L11" s="9" t="str">
        <f>HYPERLINK("http://slimages.macys.com/is/image/MCY/18289943 ")</f>
        <v xml:space="preserve">http://slimages.macys.com/is/image/MCY/18289943 </v>
      </c>
    </row>
    <row r="12" spans="1:12" ht="24.75" x14ac:dyDescent="0.25">
      <c r="A12" s="4" t="s">
        <v>3881</v>
      </c>
      <c r="B12" s="5" t="s">
        <v>3882</v>
      </c>
      <c r="C12" s="6">
        <v>1</v>
      </c>
      <c r="D12" s="7">
        <v>329.99</v>
      </c>
      <c r="E12" s="6" t="s">
        <v>2590</v>
      </c>
      <c r="F12" s="5" t="s">
        <v>1036</v>
      </c>
      <c r="G12" s="8"/>
      <c r="H12" s="5" t="s">
        <v>707</v>
      </c>
      <c r="I12" s="5" t="s">
        <v>730</v>
      </c>
      <c r="J12" s="5" t="s">
        <v>20</v>
      </c>
      <c r="K12" s="5" t="s">
        <v>789</v>
      </c>
      <c r="L12" s="9" t="str">
        <f>HYPERLINK("http://slimages.macys.com/is/image/MCY/15604029 ")</f>
        <v xml:space="preserve">http://slimages.macys.com/is/image/MCY/15604029 </v>
      </c>
    </row>
    <row r="13" spans="1:12" ht="24.75" x14ac:dyDescent="0.25">
      <c r="A13" s="4" t="s">
        <v>3883</v>
      </c>
      <c r="B13" s="5" t="s">
        <v>3884</v>
      </c>
      <c r="C13" s="6">
        <v>1</v>
      </c>
      <c r="D13" s="7">
        <v>249.99</v>
      </c>
      <c r="E13" s="6" t="s">
        <v>3885</v>
      </c>
      <c r="F13" s="5" t="s">
        <v>744</v>
      </c>
      <c r="G13" s="8"/>
      <c r="H13" s="5" t="s">
        <v>707</v>
      </c>
      <c r="I13" s="5" t="s">
        <v>874</v>
      </c>
      <c r="J13" s="5"/>
      <c r="K13" s="5"/>
      <c r="L13" s="9" t="str">
        <f>HYPERLINK("http://slimages.macys.com/is/image/MCY/18413016 ")</f>
        <v xml:space="preserve">http://slimages.macys.com/is/image/MCY/18413016 </v>
      </c>
    </row>
    <row r="14" spans="1:12" ht="36.75" x14ac:dyDescent="0.25">
      <c r="A14" s="4" t="s">
        <v>3561</v>
      </c>
      <c r="B14" s="5" t="s">
        <v>3562</v>
      </c>
      <c r="C14" s="6">
        <v>1</v>
      </c>
      <c r="D14" s="7">
        <v>189.99</v>
      </c>
      <c r="E14" s="6" t="s">
        <v>3563</v>
      </c>
      <c r="F14" s="5" t="s">
        <v>89</v>
      </c>
      <c r="G14" s="8" t="s">
        <v>1486</v>
      </c>
      <c r="H14" s="5" t="s">
        <v>1854</v>
      </c>
      <c r="I14" s="5" t="s">
        <v>1709</v>
      </c>
      <c r="J14" s="5" t="s">
        <v>20</v>
      </c>
      <c r="K14" s="5" t="s">
        <v>3564</v>
      </c>
      <c r="L14" s="9" t="str">
        <f>HYPERLINK("http://slimages.macys.com/is/image/MCY/11935772 ")</f>
        <v xml:space="preserve">http://slimages.macys.com/is/image/MCY/11935772 </v>
      </c>
    </row>
    <row r="15" spans="1:12" ht="24.75" x14ac:dyDescent="0.25">
      <c r="A15" s="4" t="s">
        <v>3044</v>
      </c>
      <c r="B15" s="5" t="s">
        <v>3045</v>
      </c>
      <c r="C15" s="6">
        <v>1</v>
      </c>
      <c r="D15" s="7">
        <v>199.99</v>
      </c>
      <c r="E15" s="6" t="s">
        <v>3046</v>
      </c>
      <c r="F15" s="5" t="s">
        <v>89</v>
      </c>
      <c r="G15" s="8"/>
      <c r="H15" s="5" t="s">
        <v>707</v>
      </c>
      <c r="I15" s="5" t="s">
        <v>874</v>
      </c>
      <c r="J15" s="5" t="s">
        <v>20</v>
      </c>
      <c r="K15" s="5" t="s">
        <v>751</v>
      </c>
      <c r="L15" s="9" t="str">
        <f>HYPERLINK("http://slimages.macys.com/is/image/MCY/9353024 ")</f>
        <v xml:space="preserve">http://slimages.macys.com/is/image/MCY/9353024 </v>
      </c>
    </row>
    <row r="16" spans="1:12" ht="24.75" x14ac:dyDescent="0.25">
      <c r="A16" s="4" t="s">
        <v>2261</v>
      </c>
      <c r="B16" s="5" t="s">
        <v>2262</v>
      </c>
      <c r="C16" s="6">
        <v>1</v>
      </c>
      <c r="D16" s="7">
        <v>229.99</v>
      </c>
      <c r="E16" s="6" t="s">
        <v>2263</v>
      </c>
      <c r="F16" s="5" t="s">
        <v>89</v>
      </c>
      <c r="G16" s="8"/>
      <c r="H16" s="5" t="s">
        <v>707</v>
      </c>
      <c r="I16" s="5" t="s">
        <v>730</v>
      </c>
      <c r="J16" s="5" t="s">
        <v>20</v>
      </c>
      <c r="K16" s="5" t="s">
        <v>2264</v>
      </c>
      <c r="L16" s="9" t="str">
        <f>HYPERLINK("http://slimages.macys.com/is/image/MCY/11953123 ")</f>
        <v xml:space="preserve">http://slimages.macys.com/is/image/MCY/11953123 </v>
      </c>
    </row>
    <row r="17" spans="1:12" ht="48.75" x14ac:dyDescent="0.25">
      <c r="A17" s="4" t="s">
        <v>3886</v>
      </c>
      <c r="B17" s="5" t="s">
        <v>3887</v>
      </c>
      <c r="C17" s="6">
        <v>1</v>
      </c>
      <c r="D17" s="7">
        <v>149.99</v>
      </c>
      <c r="E17" s="6" t="s">
        <v>3888</v>
      </c>
      <c r="F17" s="5" t="s">
        <v>89</v>
      </c>
      <c r="G17" s="8"/>
      <c r="H17" s="5" t="s">
        <v>765</v>
      </c>
      <c r="I17" s="5" t="s">
        <v>746</v>
      </c>
      <c r="J17" s="5" t="s">
        <v>20</v>
      </c>
      <c r="K17" s="5" t="s">
        <v>3889</v>
      </c>
      <c r="L17" s="9" t="str">
        <f>HYPERLINK("http://slimages.macys.com/is/image/MCY/10989742 ")</f>
        <v xml:space="preserve">http://slimages.macys.com/is/image/MCY/10989742 </v>
      </c>
    </row>
    <row r="18" spans="1:12" ht="24.75" x14ac:dyDescent="0.25">
      <c r="A18" s="4" t="s">
        <v>3890</v>
      </c>
      <c r="B18" s="5" t="s">
        <v>3891</v>
      </c>
      <c r="C18" s="6">
        <v>1</v>
      </c>
      <c r="D18" s="7">
        <v>129.99</v>
      </c>
      <c r="E18" s="6" t="s">
        <v>3892</v>
      </c>
      <c r="F18" s="5" t="s">
        <v>691</v>
      </c>
      <c r="G18" s="8"/>
      <c r="H18" s="5" t="s">
        <v>700</v>
      </c>
      <c r="I18" s="5" t="s">
        <v>894</v>
      </c>
      <c r="J18" s="5" t="s">
        <v>20</v>
      </c>
      <c r="K18" s="5" t="s">
        <v>2545</v>
      </c>
      <c r="L18" s="9" t="str">
        <f>HYPERLINK("http://slimages.macys.com/is/image/MCY/3663823 ")</f>
        <v xml:space="preserve">http://slimages.macys.com/is/image/MCY/3663823 </v>
      </c>
    </row>
    <row r="19" spans="1:12" ht="24.75" x14ac:dyDescent="0.25">
      <c r="A19" s="4" t="s">
        <v>3893</v>
      </c>
      <c r="B19" s="5" t="s">
        <v>3894</v>
      </c>
      <c r="C19" s="6">
        <v>1</v>
      </c>
      <c r="D19" s="7">
        <v>119.99</v>
      </c>
      <c r="E19" s="6">
        <v>214735</v>
      </c>
      <c r="F19" s="5" t="s">
        <v>89</v>
      </c>
      <c r="G19" s="8"/>
      <c r="H19" s="5" t="s">
        <v>831</v>
      </c>
      <c r="I19" s="5" t="s">
        <v>1669</v>
      </c>
      <c r="J19" s="5" t="s">
        <v>20</v>
      </c>
      <c r="K19" s="5" t="s">
        <v>362</v>
      </c>
      <c r="L19" s="9" t="str">
        <f>HYPERLINK("http://slimages.macys.com/is/image/MCY/15135092 ")</f>
        <v xml:space="preserve">http://slimages.macys.com/is/image/MCY/15135092 </v>
      </c>
    </row>
    <row r="20" spans="1:12" ht="24.75" x14ac:dyDescent="0.25">
      <c r="A20" s="4" t="s">
        <v>1886</v>
      </c>
      <c r="B20" s="5" t="s">
        <v>1887</v>
      </c>
      <c r="C20" s="6">
        <v>1</v>
      </c>
      <c r="D20" s="7">
        <v>119.99</v>
      </c>
      <c r="E20" s="6" t="s">
        <v>1888</v>
      </c>
      <c r="F20" s="5" t="s">
        <v>89</v>
      </c>
      <c r="G20" s="8"/>
      <c r="H20" s="5" t="s">
        <v>772</v>
      </c>
      <c r="I20" s="5" t="s">
        <v>773</v>
      </c>
      <c r="J20" s="5" t="s">
        <v>20</v>
      </c>
      <c r="K20" s="5" t="s">
        <v>1052</v>
      </c>
      <c r="L20" s="9" t="str">
        <f>HYPERLINK("http://slimages.macys.com/is/image/MCY/8433239 ")</f>
        <v xml:space="preserve">http://slimages.macys.com/is/image/MCY/8433239 </v>
      </c>
    </row>
    <row r="21" spans="1:12" ht="24.75" x14ac:dyDescent="0.25">
      <c r="A21" s="4" t="s">
        <v>3895</v>
      </c>
      <c r="B21" s="5" t="s">
        <v>3896</v>
      </c>
      <c r="C21" s="6">
        <v>1</v>
      </c>
      <c r="D21" s="7">
        <v>119.99</v>
      </c>
      <c r="E21" s="6" t="s">
        <v>3897</v>
      </c>
      <c r="F21" s="5" t="s">
        <v>89</v>
      </c>
      <c r="G21" s="8"/>
      <c r="H21" s="5" t="s">
        <v>772</v>
      </c>
      <c r="I21" s="5" t="s">
        <v>773</v>
      </c>
      <c r="J21" s="5" t="s">
        <v>20</v>
      </c>
      <c r="K21" s="5" t="s">
        <v>341</v>
      </c>
      <c r="L21" s="9" t="str">
        <f>HYPERLINK("http://slimages.macys.com/is/image/MCY/11607139 ")</f>
        <v xml:space="preserve">http://slimages.macys.com/is/image/MCY/11607139 </v>
      </c>
    </row>
    <row r="22" spans="1:12" ht="24.75" x14ac:dyDescent="0.25">
      <c r="A22" s="4" t="s">
        <v>3898</v>
      </c>
      <c r="B22" s="5" t="s">
        <v>3899</v>
      </c>
      <c r="C22" s="6">
        <v>1</v>
      </c>
      <c r="D22" s="7">
        <v>149.99</v>
      </c>
      <c r="E22" s="6" t="s">
        <v>3900</v>
      </c>
      <c r="F22" s="5" t="s">
        <v>89</v>
      </c>
      <c r="G22" s="8"/>
      <c r="H22" s="5" t="s">
        <v>707</v>
      </c>
      <c r="I22" s="5" t="s">
        <v>2513</v>
      </c>
      <c r="J22" s="5" t="s">
        <v>20</v>
      </c>
      <c r="K22" s="5" t="s">
        <v>1652</v>
      </c>
      <c r="L22" s="9" t="str">
        <f>HYPERLINK("http://slimages.macys.com/is/image/MCY/3573212 ")</f>
        <v xml:space="preserve">http://slimages.macys.com/is/image/MCY/3573212 </v>
      </c>
    </row>
    <row r="23" spans="1:12" ht="24.75" x14ac:dyDescent="0.25">
      <c r="A23" s="4" t="s">
        <v>3901</v>
      </c>
      <c r="B23" s="5" t="s">
        <v>3902</v>
      </c>
      <c r="C23" s="6">
        <v>1</v>
      </c>
      <c r="D23" s="7">
        <v>99.99</v>
      </c>
      <c r="E23" s="6" t="s">
        <v>3903</v>
      </c>
      <c r="F23" s="5" t="s">
        <v>691</v>
      </c>
      <c r="G23" s="8"/>
      <c r="H23" s="5" t="s">
        <v>772</v>
      </c>
      <c r="I23" s="5" t="s">
        <v>773</v>
      </c>
      <c r="J23" s="5" t="s">
        <v>20</v>
      </c>
      <c r="K23" s="5" t="s">
        <v>1052</v>
      </c>
      <c r="L23" s="9" t="str">
        <f>HYPERLINK("http://slimages.macys.com/is/image/MCY/11607139 ")</f>
        <v xml:space="preserve">http://slimages.macys.com/is/image/MCY/11607139 </v>
      </c>
    </row>
    <row r="24" spans="1:12" ht="24.75" x14ac:dyDescent="0.25">
      <c r="A24" s="4" t="s">
        <v>3904</v>
      </c>
      <c r="B24" s="5" t="s">
        <v>3905</v>
      </c>
      <c r="C24" s="6">
        <v>2</v>
      </c>
      <c r="D24" s="7">
        <v>199.98</v>
      </c>
      <c r="E24" s="6" t="s">
        <v>3906</v>
      </c>
      <c r="F24" s="5" t="s">
        <v>206</v>
      </c>
      <c r="G24" s="8"/>
      <c r="H24" s="5" t="s">
        <v>772</v>
      </c>
      <c r="I24" s="5" t="s">
        <v>773</v>
      </c>
      <c r="J24" s="5" t="s">
        <v>20</v>
      </c>
      <c r="K24" s="5" t="s">
        <v>341</v>
      </c>
      <c r="L24" s="9" t="str">
        <f>HYPERLINK("http://slimages.macys.com/is/image/MCY/8433239 ")</f>
        <v xml:space="preserve">http://slimages.macys.com/is/image/MCY/8433239 </v>
      </c>
    </row>
    <row r="25" spans="1:12" ht="24.75" x14ac:dyDescent="0.25">
      <c r="A25" s="4" t="s">
        <v>3907</v>
      </c>
      <c r="B25" s="5" t="s">
        <v>3908</v>
      </c>
      <c r="C25" s="6">
        <v>1</v>
      </c>
      <c r="D25" s="7">
        <v>99.99</v>
      </c>
      <c r="E25" s="6" t="s">
        <v>3909</v>
      </c>
      <c r="F25" s="5" t="s">
        <v>89</v>
      </c>
      <c r="G25" s="8" t="s">
        <v>781</v>
      </c>
      <c r="H25" s="5" t="s">
        <v>782</v>
      </c>
      <c r="I25" s="5" t="s">
        <v>1990</v>
      </c>
      <c r="J25" s="5"/>
      <c r="K25" s="5"/>
      <c r="L25" s="9" t="str">
        <f>HYPERLINK("http://slimages.macys.com/is/image/MCY/17546377 ")</f>
        <v xml:space="preserve">http://slimages.macys.com/is/image/MCY/17546377 </v>
      </c>
    </row>
    <row r="26" spans="1:12" ht="24.75" x14ac:dyDescent="0.25">
      <c r="A26" s="4" t="s">
        <v>3910</v>
      </c>
      <c r="B26" s="5" t="s">
        <v>1857</v>
      </c>
      <c r="C26" s="6">
        <v>1</v>
      </c>
      <c r="D26" s="7">
        <v>139.99</v>
      </c>
      <c r="E26" s="6" t="s">
        <v>3911</v>
      </c>
      <c r="F26" s="5" t="s">
        <v>89</v>
      </c>
      <c r="G26" s="8" t="s">
        <v>3912</v>
      </c>
      <c r="H26" s="5" t="s">
        <v>707</v>
      </c>
      <c r="I26" s="5" t="s">
        <v>708</v>
      </c>
      <c r="J26" s="5" t="s">
        <v>20</v>
      </c>
      <c r="K26" s="5" t="s">
        <v>330</v>
      </c>
      <c r="L26" s="9" t="str">
        <f>HYPERLINK("http://slimages.macys.com/is/image/MCY/14788490 ")</f>
        <v xml:space="preserve">http://slimages.macys.com/is/image/MCY/14788490 </v>
      </c>
    </row>
    <row r="27" spans="1:12" ht="60.75" x14ac:dyDescent="0.25">
      <c r="A27" s="4" t="s">
        <v>3913</v>
      </c>
      <c r="B27" s="5" t="s">
        <v>3914</v>
      </c>
      <c r="C27" s="6">
        <v>1</v>
      </c>
      <c r="D27" s="7">
        <v>84.99</v>
      </c>
      <c r="E27" s="6" t="s">
        <v>3915</v>
      </c>
      <c r="F27" s="5" t="s">
        <v>89</v>
      </c>
      <c r="G27" s="8" t="s">
        <v>1065</v>
      </c>
      <c r="H27" s="5" t="s">
        <v>782</v>
      </c>
      <c r="I27" s="5" t="s">
        <v>783</v>
      </c>
      <c r="J27" s="5" t="s">
        <v>110</v>
      </c>
      <c r="K27" s="5" t="s">
        <v>810</v>
      </c>
      <c r="L27" s="9" t="str">
        <f>HYPERLINK("http://slimages.macys.com/is/image/MCY/11798266 ")</f>
        <v xml:space="preserve">http://slimages.macys.com/is/image/MCY/11798266 </v>
      </c>
    </row>
    <row r="28" spans="1:12" ht="24.75" x14ac:dyDescent="0.25">
      <c r="A28" s="4" t="s">
        <v>3916</v>
      </c>
      <c r="B28" s="5" t="s">
        <v>3917</v>
      </c>
      <c r="C28" s="6">
        <v>1</v>
      </c>
      <c r="D28" s="7">
        <v>119.99</v>
      </c>
      <c r="E28" s="6" t="s">
        <v>3918</v>
      </c>
      <c r="F28" s="5" t="s">
        <v>394</v>
      </c>
      <c r="G28" s="8"/>
      <c r="H28" s="5" t="s">
        <v>739</v>
      </c>
      <c r="I28" s="5" t="s">
        <v>1561</v>
      </c>
      <c r="J28" s="5"/>
      <c r="K28" s="5"/>
      <c r="L28" s="9" t="str">
        <f>HYPERLINK("http://slimages.macys.com/is/image/MCY/18266992 ")</f>
        <v xml:space="preserve">http://slimages.macys.com/is/image/MCY/18266992 </v>
      </c>
    </row>
    <row r="29" spans="1:12" ht="24.75" x14ac:dyDescent="0.25">
      <c r="A29" s="4" t="s">
        <v>3919</v>
      </c>
      <c r="B29" s="5" t="s">
        <v>3920</v>
      </c>
      <c r="C29" s="6">
        <v>1</v>
      </c>
      <c r="D29" s="7">
        <v>119.99</v>
      </c>
      <c r="E29" s="6" t="s">
        <v>3921</v>
      </c>
      <c r="F29" s="5" t="s">
        <v>555</v>
      </c>
      <c r="G29" s="8"/>
      <c r="H29" s="5" t="s">
        <v>739</v>
      </c>
      <c r="I29" s="5" t="s">
        <v>1561</v>
      </c>
      <c r="J29" s="5" t="s">
        <v>20</v>
      </c>
      <c r="K29" s="5"/>
      <c r="L29" s="9" t="str">
        <f>HYPERLINK("http://slimages.macys.com/is/image/MCY/16384053 ")</f>
        <v xml:space="preserve">http://slimages.macys.com/is/image/MCY/16384053 </v>
      </c>
    </row>
    <row r="30" spans="1:12" x14ac:dyDescent="0.25">
      <c r="A30" s="4" t="s">
        <v>3922</v>
      </c>
      <c r="B30" s="5" t="s">
        <v>3923</v>
      </c>
      <c r="C30" s="6">
        <v>1</v>
      </c>
      <c r="D30" s="7">
        <v>75.989999999999995</v>
      </c>
      <c r="E30" s="6" t="s">
        <v>3924</v>
      </c>
      <c r="F30" s="5" t="s">
        <v>555</v>
      </c>
      <c r="G30" s="8"/>
      <c r="H30" s="5" t="s">
        <v>940</v>
      </c>
      <c r="I30" s="5" t="s">
        <v>746</v>
      </c>
      <c r="J30" s="5" t="s">
        <v>20</v>
      </c>
      <c r="K30" s="5" t="s">
        <v>330</v>
      </c>
      <c r="L30" s="9" t="str">
        <f>HYPERLINK("http://slimages.macys.com/is/image/MCY/14737932 ")</f>
        <v xml:space="preserve">http://slimages.macys.com/is/image/MCY/14737932 </v>
      </c>
    </row>
    <row r="31" spans="1:12" ht="24.75" x14ac:dyDescent="0.25">
      <c r="A31" s="4" t="s">
        <v>3925</v>
      </c>
      <c r="B31" s="5" t="s">
        <v>3926</v>
      </c>
      <c r="C31" s="6">
        <v>1</v>
      </c>
      <c r="D31" s="7">
        <v>129.99</v>
      </c>
      <c r="E31" s="6" t="s">
        <v>3927</v>
      </c>
      <c r="F31" s="5" t="s">
        <v>89</v>
      </c>
      <c r="G31" s="8"/>
      <c r="H31" s="5" t="s">
        <v>707</v>
      </c>
      <c r="I31" s="5" t="s">
        <v>730</v>
      </c>
      <c r="J31" s="5" t="s">
        <v>20</v>
      </c>
      <c r="K31" s="5" t="s">
        <v>330</v>
      </c>
      <c r="L31" s="9" t="str">
        <f>HYPERLINK("http://slimages.macys.com/is/image/MCY/8152581 ")</f>
        <v xml:space="preserve">http://slimages.macys.com/is/image/MCY/8152581 </v>
      </c>
    </row>
    <row r="32" spans="1:12" ht="24.75" x14ac:dyDescent="0.25">
      <c r="A32" s="4" t="s">
        <v>3928</v>
      </c>
      <c r="B32" s="5" t="s">
        <v>3929</v>
      </c>
      <c r="C32" s="6">
        <v>1</v>
      </c>
      <c r="D32" s="7">
        <v>109.99</v>
      </c>
      <c r="E32" s="6" t="s">
        <v>3930</v>
      </c>
      <c r="F32" s="5" t="s">
        <v>89</v>
      </c>
      <c r="G32" s="8"/>
      <c r="H32" s="5" t="s">
        <v>707</v>
      </c>
      <c r="I32" s="5" t="s">
        <v>1110</v>
      </c>
      <c r="J32" s="5"/>
      <c r="K32" s="5"/>
      <c r="L32" s="9" t="str">
        <f>HYPERLINK("http://slimages.macys.com/is/image/MCY/16860904 ")</f>
        <v xml:space="preserve">http://slimages.macys.com/is/image/MCY/16860904 </v>
      </c>
    </row>
    <row r="33" spans="1:12" ht="24.75" x14ac:dyDescent="0.25">
      <c r="A33" s="4" t="s">
        <v>3692</v>
      </c>
      <c r="B33" s="5" t="s">
        <v>3693</v>
      </c>
      <c r="C33" s="6">
        <v>1</v>
      </c>
      <c r="D33" s="7">
        <v>139.99</v>
      </c>
      <c r="E33" s="6" t="s">
        <v>3694</v>
      </c>
      <c r="F33" s="5" t="s">
        <v>89</v>
      </c>
      <c r="G33" s="8" t="s">
        <v>1687</v>
      </c>
      <c r="H33" s="5" t="s">
        <v>707</v>
      </c>
      <c r="I33" s="5" t="s">
        <v>730</v>
      </c>
      <c r="J33" s="5" t="s">
        <v>20</v>
      </c>
      <c r="K33" s="5" t="s">
        <v>846</v>
      </c>
      <c r="L33" s="9" t="str">
        <f>HYPERLINK("http://slimages.macys.com/is/image/MCY/8182285 ")</f>
        <v xml:space="preserve">http://slimages.macys.com/is/image/MCY/8182285 </v>
      </c>
    </row>
    <row r="34" spans="1:12" ht="24.75" x14ac:dyDescent="0.25">
      <c r="A34" s="4" t="s">
        <v>3931</v>
      </c>
      <c r="B34" s="5" t="s">
        <v>3932</v>
      </c>
      <c r="C34" s="6">
        <v>1</v>
      </c>
      <c r="D34" s="7">
        <v>129.99</v>
      </c>
      <c r="E34" s="6" t="s">
        <v>3933</v>
      </c>
      <c r="F34" s="5" t="s">
        <v>89</v>
      </c>
      <c r="G34" s="8"/>
      <c r="H34" s="5" t="s">
        <v>707</v>
      </c>
      <c r="I34" s="5" t="s">
        <v>730</v>
      </c>
      <c r="J34" s="5" t="s">
        <v>20</v>
      </c>
      <c r="K34" s="5"/>
      <c r="L34" s="9" t="str">
        <f>HYPERLINK("http://slimages.macys.com/is/image/MCY/8152581 ")</f>
        <v xml:space="preserve">http://slimages.macys.com/is/image/MCY/8152581 </v>
      </c>
    </row>
    <row r="35" spans="1:12" ht="24.75" x14ac:dyDescent="0.25">
      <c r="A35" s="4" t="s">
        <v>3934</v>
      </c>
      <c r="B35" s="5" t="s">
        <v>3935</v>
      </c>
      <c r="C35" s="6">
        <v>1</v>
      </c>
      <c r="D35" s="7">
        <v>59.99</v>
      </c>
      <c r="E35" s="6" t="s">
        <v>3936</v>
      </c>
      <c r="F35" s="5" t="s">
        <v>89</v>
      </c>
      <c r="G35" s="8" t="s">
        <v>1597</v>
      </c>
      <c r="H35" s="5" t="s">
        <v>782</v>
      </c>
      <c r="I35" s="5" t="s">
        <v>1037</v>
      </c>
      <c r="J35" s="5" t="s">
        <v>20</v>
      </c>
      <c r="K35" s="5" t="s">
        <v>362</v>
      </c>
      <c r="L35" s="9" t="str">
        <f>HYPERLINK("http://slimages.macys.com/is/image/MCY/8117212 ")</f>
        <v xml:space="preserve">http://slimages.macys.com/is/image/MCY/8117212 </v>
      </c>
    </row>
    <row r="36" spans="1:12" ht="24.75" x14ac:dyDescent="0.25">
      <c r="A36" s="4" t="s">
        <v>3937</v>
      </c>
      <c r="B36" s="5" t="s">
        <v>3938</v>
      </c>
      <c r="C36" s="6">
        <v>1</v>
      </c>
      <c r="D36" s="7">
        <v>56.99</v>
      </c>
      <c r="E36" s="6" t="s">
        <v>3939</v>
      </c>
      <c r="F36" s="5" t="s">
        <v>394</v>
      </c>
      <c r="G36" s="8" t="s">
        <v>954</v>
      </c>
      <c r="H36" s="5" t="s">
        <v>940</v>
      </c>
      <c r="I36" s="5" t="s">
        <v>1705</v>
      </c>
      <c r="J36" s="5" t="s">
        <v>20</v>
      </c>
      <c r="K36" s="5" t="s">
        <v>918</v>
      </c>
      <c r="L36" s="9" t="str">
        <f>HYPERLINK("http://slimages.macys.com/is/image/MCY/10753800 ")</f>
        <v xml:space="preserve">http://slimages.macys.com/is/image/MCY/10753800 </v>
      </c>
    </row>
    <row r="37" spans="1:12" ht="24.75" x14ac:dyDescent="0.25">
      <c r="A37" s="4" t="s">
        <v>3940</v>
      </c>
      <c r="B37" s="5" t="s">
        <v>3941</v>
      </c>
      <c r="C37" s="6">
        <v>1</v>
      </c>
      <c r="D37" s="7">
        <v>69.989999999999995</v>
      </c>
      <c r="E37" s="6" t="s">
        <v>3942</v>
      </c>
      <c r="F37" s="5" t="s">
        <v>394</v>
      </c>
      <c r="G37" s="8"/>
      <c r="H37" s="5" t="s">
        <v>765</v>
      </c>
      <c r="I37" s="5" t="s">
        <v>1037</v>
      </c>
      <c r="J37" s="5" t="s">
        <v>20</v>
      </c>
      <c r="K37" s="5" t="s">
        <v>396</v>
      </c>
      <c r="L37" s="9" t="str">
        <f>HYPERLINK("http://slimages.macys.com/is/image/MCY/3819330 ")</f>
        <v xml:space="preserve">http://slimages.macys.com/is/image/MCY/3819330 </v>
      </c>
    </row>
    <row r="38" spans="1:12" ht="24.75" x14ac:dyDescent="0.25">
      <c r="A38" s="4" t="s">
        <v>3943</v>
      </c>
      <c r="B38" s="5" t="s">
        <v>3944</v>
      </c>
      <c r="C38" s="6">
        <v>1</v>
      </c>
      <c r="D38" s="7">
        <v>67.989999999999995</v>
      </c>
      <c r="E38" s="6" t="s">
        <v>3945</v>
      </c>
      <c r="F38" s="5" t="s">
        <v>349</v>
      </c>
      <c r="G38" s="8"/>
      <c r="H38" s="5" t="s">
        <v>745</v>
      </c>
      <c r="I38" s="5" t="s">
        <v>3363</v>
      </c>
      <c r="J38" s="5" t="s">
        <v>20</v>
      </c>
      <c r="K38" s="5" t="s">
        <v>239</v>
      </c>
      <c r="L38" s="9" t="str">
        <f>HYPERLINK("http://slimages.macys.com/is/image/MCY/11461343 ")</f>
        <v xml:space="preserve">http://slimages.macys.com/is/image/MCY/11461343 </v>
      </c>
    </row>
    <row r="39" spans="1:12" ht="24.75" x14ac:dyDescent="0.25">
      <c r="A39" s="4" t="s">
        <v>3946</v>
      </c>
      <c r="B39" s="5" t="s">
        <v>3947</v>
      </c>
      <c r="C39" s="6">
        <v>1</v>
      </c>
      <c r="D39" s="7">
        <v>49.99</v>
      </c>
      <c r="E39" s="6" t="s">
        <v>3948</v>
      </c>
      <c r="F39" s="5" t="s">
        <v>1260</v>
      </c>
      <c r="G39" s="8"/>
      <c r="H39" s="5" t="s">
        <v>718</v>
      </c>
      <c r="I39" s="5" t="s">
        <v>806</v>
      </c>
      <c r="J39" s="5"/>
      <c r="K39" s="5"/>
      <c r="L39" s="9" t="str">
        <f>HYPERLINK("http://slimages.macys.com/is/image/MCY/17968749 ")</f>
        <v xml:space="preserve">http://slimages.macys.com/is/image/MCY/17968749 </v>
      </c>
    </row>
    <row r="40" spans="1:12" ht="24.75" x14ac:dyDescent="0.25">
      <c r="A40" s="4" t="s">
        <v>3949</v>
      </c>
      <c r="B40" s="5" t="s">
        <v>3950</v>
      </c>
      <c r="C40" s="6">
        <v>1</v>
      </c>
      <c r="D40" s="7">
        <v>49.99</v>
      </c>
      <c r="E40" s="6">
        <v>2000000036</v>
      </c>
      <c r="F40" s="5" t="s">
        <v>1124</v>
      </c>
      <c r="G40" s="8"/>
      <c r="H40" s="5" t="s">
        <v>712</v>
      </c>
      <c r="I40" s="5" t="s">
        <v>1092</v>
      </c>
      <c r="J40" s="5"/>
      <c r="K40" s="5"/>
      <c r="L40" s="9" t="str">
        <f>HYPERLINK("http://slimages.macys.com/is/image/MCY/17814309 ")</f>
        <v xml:space="preserve">http://slimages.macys.com/is/image/MCY/17814309 </v>
      </c>
    </row>
    <row r="41" spans="1:12" ht="24.75" x14ac:dyDescent="0.25">
      <c r="A41" s="4" t="s">
        <v>3951</v>
      </c>
      <c r="B41" s="5" t="s">
        <v>3952</v>
      </c>
      <c r="C41" s="6">
        <v>2</v>
      </c>
      <c r="D41" s="7">
        <v>99.98</v>
      </c>
      <c r="E41" s="6">
        <v>19156329</v>
      </c>
      <c r="F41" s="5" t="s">
        <v>755</v>
      </c>
      <c r="G41" s="8"/>
      <c r="H41" s="5" t="s">
        <v>712</v>
      </c>
      <c r="I41" s="5" t="s">
        <v>1092</v>
      </c>
      <c r="J41" s="5" t="s">
        <v>20</v>
      </c>
      <c r="K41" s="5" t="s">
        <v>396</v>
      </c>
      <c r="L41" s="9" t="str">
        <f>HYPERLINK("http://slimages.macys.com/is/image/MCY/8347198 ")</f>
        <v xml:space="preserve">http://slimages.macys.com/is/image/MCY/8347198 </v>
      </c>
    </row>
    <row r="42" spans="1:12" ht="24.75" x14ac:dyDescent="0.25">
      <c r="A42" s="4" t="s">
        <v>3953</v>
      </c>
      <c r="B42" s="5" t="s">
        <v>2964</v>
      </c>
      <c r="C42" s="6">
        <v>1</v>
      </c>
      <c r="D42" s="7">
        <v>54.99</v>
      </c>
      <c r="E42" s="6" t="s">
        <v>3954</v>
      </c>
      <c r="F42" s="5" t="s">
        <v>89</v>
      </c>
      <c r="G42" s="8" t="s">
        <v>781</v>
      </c>
      <c r="H42" s="5" t="s">
        <v>782</v>
      </c>
      <c r="I42" s="5" t="s">
        <v>1990</v>
      </c>
      <c r="J42" s="5"/>
      <c r="K42" s="5"/>
      <c r="L42" s="9" t="str">
        <f>HYPERLINK("http://slimages.macys.com/is/image/MCY/17546537 ")</f>
        <v xml:space="preserve">http://slimages.macys.com/is/image/MCY/17546537 </v>
      </c>
    </row>
    <row r="43" spans="1:12" ht="24.75" x14ac:dyDescent="0.25">
      <c r="A43" s="4" t="s">
        <v>3955</v>
      </c>
      <c r="B43" s="5" t="s">
        <v>3956</v>
      </c>
      <c r="C43" s="6">
        <v>1</v>
      </c>
      <c r="D43" s="7">
        <v>41.99</v>
      </c>
      <c r="E43" s="6" t="s">
        <v>3957</v>
      </c>
      <c r="F43" s="5" t="s">
        <v>54</v>
      </c>
      <c r="G43" s="8" t="s">
        <v>3958</v>
      </c>
      <c r="H43" s="5" t="s">
        <v>718</v>
      </c>
      <c r="I43" s="5" t="s">
        <v>906</v>
      </c>
      <c r="J43" s="5" t="s">
        <v>20</v>
      </c>
      <c r="K43" s="5" t="s">
        <v>3959</v>
      </c>
      <c r="L43" s="9" t="str">
        <f>HYPERLINK("http://slimages.macys.com/is/image/MCY/12678590 ")</f>
        <v xml:space="preserve">http://slimages.macys.com/is/image/MCY/12678590 </v>
      </c>
    </row>
    <row r="44" spans="1:12" ht="24.75" x14ac:dyDescent="0.25">
      <c r="A44" s="4" t="s">
        <v>3960</v>
      </c>
      <c r="B44" s="5" t="s">
        <v>3961</v>
      </c>
      <c r="C44" s="6">
        <v>1</v>
      </c>
      <c r="D44" s="7">
        <v>47.99</v>
      </c>
      <c r="E44" s="6">
        <v>5451</v>
      </c>
      <c r="F44" s="5" t="s">
        <v>16</v>
      </c>
      <c r="G44" s="8" t="s">
        <v>17</v>
      </c>
      <c r="H44" s="5" t="s">
        <v>865</v>
      </c>
      <c r="I44" s="5" t="s">
        <v>3962</v>
      </c>
      <c r="J44" s="5" t="s">
        <v>20</v>
      </c>
      <c r="K44" s="5" t="s">
        <v>3963</v>
      </c>
      <c r="L44" s="9" t="str">
        <f>HYPERLINK("http://slimages.macys.com/is/image/MCY/14469250 ")</f>
        <v xml:space="preserve">http://slimages.macys.com/is/image/MCY/14469250 </v>
      </c>
    </row>
    <row r="45" spans="1:12" ht="24.75" x14ac:dyDescent="0.25">
      <c r="A45" s="4" t="s">
        <v>3964</v>
      </c>
      <c r="B45" s="5" t="s">
        <v>3965</v>
      </c>
      <c r="C45" s="6">
        <v>1</v>
      </c>
      <c r="D45" s="7">
        <v>49.99</v>
      </c>
      <c r="E45" s="6" t="s">
        <v>3966</v>
      </c>
      <c r="F45" s="5" t="s">
        <v>1124</v>
      </c>
      <c r="G45" s="8"/>
      <c r="H45" s="5" t="s">
        <v>712</v>
      </c>
      <c r="I45" s="5" t="s">
        <v>1092</v>
      </c>
      <c r="J45" s="5" t="s">
        <v>20</v>
      </c>
      <c r="K45" s="5" t="s">
        <v>396</v>
      </c>
      <c r="L45" s="9" t="str">
        <f>HYPERLINK("http://slimages.macys.com/is/image/MCY/8347198 ")</f>
        <v xml:space="preserve">http://slimages.macys.com/is/image/MCY/8347198 </v>
      </c>
    </row>
    <row r="46" spans="1:12" ht="24.75" x14ac:dyDescent="0.25">
      <c r="A46" s="4" t="s">
        <v>3967</v>
      </c>
      <c r="B46" s="5" t="s">
        <v>3968</v>
      </c>
      <c r="C46" s="6">
        <v>1</v>
      </c>
      <c r="D46" s="7">
        <v>40.99</v>
      </c>
      <c r="E46" s="6" t="s">
        <v>3969</v>
      </c>
      <c r="F46" s="5" t="s">
        <v>78</v>
      </c>
      <c r="G46" s="8" t="s">
        <v>2464</v>
      </c>
      <c r="H46" s="5" t="s">
        <v>718</v>
      </c>
      <c r="I46" s="5" t="s">
        <v>856</v>
      </c>
      <c r="J46" s="5" t="s">
        <v>20</v>
      </c>
      <c r="K46" s="5" t="s">
        <v>3970</v>
      </c>
      <c r="L46" s="9" t="str">
        <f>HYPERLINK("http://slimages.macys.com/is/image/MCY/10681827 ")</f>
        <v xml:space="preserve">http://slimages.macys.com/is/image/MCY/10681827 </v>
      </c>
    </row>
    <row r="47" spans="1:12" ht="24.75" x14ac:dyDescent="0.25">
      <c r="A47" s="4" t="s">
        <v>3971</v>
      </c>
      <c r="B47" s="5" t="s">
        <v>3972</v>
      </c>
      <c r="C47" s="6">
        <v>1</v>
      </c>
      <c r="D47" s="7">
        <v>49.99</v>
      </c>
      <c r="E47" s="6" t="s">
        <v>3973</v>
      </c>
      <c r="F47" s="5"/>
      <c r="G47" s="8"/>
      <c r="H47" s="5" t="s">
        <v>712</v>
      </c>
      <c r="I47" s="5" t="s">
        <v>1576</v>
      </c>
      <c r="J47" s="5"/>
      <c r="K47" s="5"/>
      <c r="L47" s="9" t="str">
        <f>HYPERLINK("http://slimages.macys.com/is/image/MCY/18717320 ")</f>
        <v xml:space="preserve">http://slimages.macys.com/is/image/MCY/18717320 </v>
      </c>
    </row>
    <row r="48" spans="1:12" ht="24.75" x14ac:dyDescent="0.25">
      <c r="A48" s="4" t="s">
        <v>1949</v>
      </c>
      <c r="B48" s="5" t="s">
        <v>3974</v>
      </c>
      <c r="C48" s="6">
        <v>1</v>
      </c>
      <c r="D48" s="7">
        <v>69.989999999999995</v>
      </c>
      <c r="E48" s="6" t="s">
        <v>1951</v>
      </c>
      <c r="F48" s="5" t="s">
        <v>755</v>
      </c>
      <c r="G48" s="8" t="s">
        <v>1952</v>
      </c>
      <c r="H48" s="5" t="s">
        <v>707</v>
      </c>
      <c r="I48" s="5" t="s">
        <v>708</v>
      </c>
      <c r="J48" s="5"/>
      <c r="K48" s="5"/>
      <c r="L48" s="9" t="str">
        <f>HYPERLINK("http://slimages.macys.com/is/image/MCY/16687200 ")</f>
        <v xml:space="preserve">http://slimages.macys.com/is/image/MCY/16687200 </v>
      </c>
    </row>
    <row r="49" spans="1:12" ht="24.75" x14ac:dyDescent="0.25">
      <c r="A49" s="4" t="s">
        <v>3975</v>
      </c>
      <c r="B49" s="5" t="s">
        <v>3976</v>
      </c>
      <c r="C49" s="6">
        <v>4</v>
      </c>
      <c r="D49" s="7">
        <v>239.96</v>
      </c>
      <c r="E49" s="6" t="s">
        <v>3977</v>
      </c>
      <c r="F49" s="5" t="s">
        <v>159</v>
      </c>
      <c r="G49" s="8"/>
      <c r="H49" s="5" t="s">
        <v>765</v>
      </c>
      <c r="I49" s="5" t="s">
        <v>2475</v>
      </c>
      <c r="J49" s="5" t="s">
        <v>20</v>
      </c>
      <c r="K49" s="5" t="s">
        <v>396</v>
      </c>
      <c r="L49" s="9" t="str">
        <f>HYPERLINK("http://slimages.macys.com/is/image/MCY/10249494 ")</f>
        <v xml:space="preserve">http://slimages.macys.com/is/image/MCY/10249494 </v>
      </c>
    </row>
    <row r="50" spans="1:12" ht="24.75" x14ac:dyDescent="0.25">
      <c r="A50" s="4" t="s">
        <v>3978</v>
      </c>
      <c r="B50" s="5" t="s">
        <v>3979</v>
      </c>
      <c r="C50" s="6">
        <v>1</v>
      </c>
      <c r="D50" s="7">
        <v>49.99</v>
      </c>
      <c r="E50" s="6" t="s">
        <v>3980</v>
      </c>
      <c r="F50" s="5" t="s">
        <v>1124</v>
      </c>
      <c r="G50" s="8"/>
      <c r="H50" s="5" t="s">
        <v>712</v>
      </c>
      <c r="I50" s="5" t="s">
        <v>1092</v>
      </c>
      <c r="J50" s="5" t="s">
        <v>20</v>
      </c>
      <c r="K50" s="5" t="s">
        <v>396</v>
      </c>
      <c r="L50" s="9" t="str">
        <f>HYPERLINK("http://slimages.macys.com/is/image/MCY/8347198 ")</f>
        <v xml:space="preserve">http://slimages.macys.com/is/image/MCY/8347198 </v>
      </c>
    </row>
    <row r="51" spans="1:12" ht="24.75" x14ac:dyDescent="0.25">
      <c r="A51" s="4" t="s">
        <v>3981</v>
      </c>
      <c r="B51" s="5" t="s">
        <v>3982</v>
      </c>
      <c r="C51" s="6">
        <v>1</v>
      </c>
      <c r="D51" s="7">
        <v>49.99</v>
      </c>
      <c r="E51" s="6" t="s">
        <v>3983</v>
      </c>
      <c r="F51" s="5"/>
      <c r="G51" s="8"/>
      <c r="H51" s="5" t="s">
        <v>831</v>
      </c>
      <c r="I51" s="5" t="s">
        <v>2197</v>
      </c>
      <c r="J51" s="5" t="s">
        <v>20</v>
      </c>
      <c r="K51" s="5" t="s">
        <v>936</v>
      </c>
      <c r="L51" s="9" t="str">
        <f>HYPERLINK("http://slimages.macys.com/is/image/MCY/11012501 ")</f>
        <v xml:space="preserve">http://slimages.macys.com/is/image/MCY/11012501 </v>
      </c>
    </row>
    <row r="52" spans="1:12" ht="24.75" x14ac:dyDescent="0.25">
      <c r="A52" s="4" t="s">
        <v>2393</v>
      </c>
      <c r="B52" s="5" t="s">
        <v>2394</v>
      </c>
      <c r="C52" s="6">
        <v>1</v>
      </c>
      <c r="D52" s="7">
        <v>59.99</v>
      </c>
      <c r="E52" s="6">
        <v>10004897500</v>
      </c>
      <c r="F52" s="5" t="s">
        <v>1321</v>
      </c>
      <c r="G52" s="8"/>
      <c r="H52" s="5" t="s">
        <v>739</v>
      </c>
      <c r="I52" s="5" t="s">
        <v>740</v>
      </c>
      <c r="J52" s="5" t="s">
        <v>20</v>
      </c>
      <c r="K52" s="5"/>
      <c r="L52" s="9" t="str">
        <f>HYPERLINK("http://slimages.macys.com/is/image/MCY/14823286 ")</f>
        <v xml:space="preserve">http://slimages.macys.com/is/image/MCY/14823286 </v>
      </c>
    </row>
    <row r="53" spans="1:12" ht="24.75" x14ac:dyDescent="0.25">
      <c r="A53" s="4" t="s">
        <v>3984</v>
      </c>
      <c r="B53" s="5" t="s">
        <v>3985</v>
      </c>
      <c r="C53" s="6">
        <v>1</v>
      </c>
      <c r="D53" s="7">
        <v>69.989999999999995</v>
      </c>
      <c r="E53" s="6" t="s">
        <v>3986</v>
      </c>
      <c r="F53" s="5" t="s">
        <v>54</v>
      </c>
      <c r="G53" s="8"/>
      <c r="H53" s="5" t="s">
        <v>707</v>
      </c>
      <c r="I53" s="5" t="s">
        <v>708</v>
      </c>
      <c r="J53" s="5" t="s">
        <v>20</v>
      </c>
      <c r="K53" s="5" t="s">
        <v>330</v>
      </c>
      <c r="L53" s="9" t="str">
        <f>HYPERLINK("http://slimages.macys.com/is/image/MCY/14788492 ")</f>
        <v xml:space="preserve">http://slimages.macys.com/is/image/MCY/14788492 </v>
      </c>
    </row>
    <row r="54" spans="1:12" ht="24.75" x14ac:dyDescent="0.25">
      <c r="A54" s="4" t="s">
        <v>3987</v>
      </c>
      <c r="B54" s="5" t="s">
        <v>3988</v>
      </c>
      <c r="C54" s="6">
        <v>2</v>
      </c>
      <c r="D54" s="7">
        <v>159.97999999999999</v>
      </c>
      <c r="E54" s="6" t="s">
        <v>3989</v>
      </c>
      <c r="F54" s="5" t="s">
        <v>89</v>
      </c>
      <c r="G54" s="8"/>
      <c r="H54" s="5" t="s">
        <v>724</v>
      </c>
      <c r="I54" s="5" t="s">
        <v>1066</v>
      </c>
      <c r="J54" s="5" t="s">
        <v>1514</v>
      </c>
      <c r="K54" s="5"/>
      <c r="L54" s="9" t="str">
        <f>HYPERLINK("http://slimages.macys.com/is/image/MCY/12779303 ")</f>
        <v xml:space="preserve">http://slimages.macys.com/is/image/MCY/12779303 </v>
      </c>
    </row>
    <row r="55" spans="1:12" ht="24.75" x14ac:dyDescent="0.25">
      <c r="A55" s="4" t="s">
        <v>3990</v>
      </c>
      <c r="B55" s="5" t="s">
        <v>3991</v>
      </c>
      <c r="C55" s="6">
        <v>1</v>
      </c>
      <c r="D55" s="7">
        <v>59.99</v>
      </c>
      <c r="E55" s="6" t="s">
        <v>3992</v>
      </c>
      <c r="F55" s="5" t="s">
        <v>89</v>
      </c>
      <c r="G55" s="8"/>
      <c r="H55" s="5" t="s">
        <v>772</v>
      </c>
      <c r="I55" s="5" t="s">
        <v>773</v>
      </c>
      <c r="J55" s="5" t="s">
        <v>20</v>
      </c>
      <c r="K55" s="5" t="s">
        <v>330</v>
      </c>
      <c r="L55" s="9" t="str">
        <f>HYPERLINK("http://slimages.macys.com/is/image/MCY/8432521 ")</f>
        <v xml:space="preserve">http://slimages.macys.com/is/image/MCY/8432521 </v>
      </c>
    </row>
    <row r="56" spans="1:12" ht="24.75" x14ac:dyDescent="0.25">
      <c r="A56" s="4" t="s">
        <v>3993</v>
      </c>
      <c r="B56" s="5" t="s">
        <v>3994</v>
      </c>
      <c r="C56" s="6">
        <v>1</v>
      </c>
      <c r="D56" s="7">
        <v>44.99</v>
      </c>
      <c r="E56" s="6" t="s">
        <v>3995</v>
      </c>
      <c r="F56" s="5" t="s">
        <v>206</v>
      </c>
      <c r="G56" s="8"/>
      <c r="H56" s="5" t="s">
        <v>1673</v>
      </c>
      <c r="I56" s="5" t="s">
        <v>1674</v>
      </c>
      <c r="J56" s="5"/>
      <c r="K56" s="5"/>
      <c r="L56" s="9" t="str">
        <f>HYPERLINK("http://slimages.macys.com/is/image/MCY/18221334 ")</f>
        <v xml:space="preserve">http://slimages.macys.com/is/image/MCY/18221334 </v>
      </c>
    </row>
    <row r="57" spans="1:12" ht="24.75" x14ac:dyDescent="0.25">
      <c r="A57" s="4" t="s">
        <v>3996</v>
      </c>
      <c r="B57" s="5" t="s">
        <v>3997</v>
      </c>
      <c r="C57" s="6">
        <v>1</v>
      </c>
      <c r="D57" s="7">
        <v>29.99</v>
      </c>
      <c r="E57" s="6" t="s">
        <v>3998</v>
      </c>
      <c r="F57" s="5" t="s">
        <v>1008</v>
      </c>
      <c r="G57" s="8"/>
      <c r="H57" s="5" t="s">
        <v>1157</v>
      </c>
      <c r="I57" s="5" t="s">
        <v>3999</v>
      </c>
      <c r="J57" s="5" t="s">
        <v>20</v>
      </c>
      <c r="K57" s="5" t="s">
        <v>362</v>
      </c>
      <c r="L57" s="9" t="str">
        <f>HYPERLINK("http://slimages.macys.com/is/image/MCY/9408114 ")</f>
        <v xml:space="preserve">http://slimages.macys.com/is/image/MCY/9408114 </v>
      </c>
    </row>
    <row r="58" spans="1:12" ht="24.75" x14ac:dyDescent="0.25">
      <c r="A58" s="4" t="s">
        <v>4000</v>
      </c>
      <c r="B58" s="5" t="s">
        <v>4001</v>
      </c>
      <c r="C58" s="6">
        <v>1</v>
      </c>
      <c r="D58" s="7">
        <v>39.99</v>
      </c>
      <c r="E58" s="6" t="s">
        <v>4002</v>
      </c>
      <c r="F58" s="5" t="s">
        <v>755</v>
      </c>
      <c r="G58" s="8" t="s">
        <v>954</v>
      </c>
      <c r="H58" s="5" t="s">
        <v>916</v>
      </c>
      <c r="I58" s="5" t="s">
        <v>917</v>
      </c>
      <c r="J58" s="5" t="s">
        <v>20</v>
      </c>
      <c r="K58" s="5" t="s">
        <v>2545</v>
      </c>
      <c r="L58" s="9" t="str">
        <f>HYPERLINK("http://slimages.macys.com/is/image/MCY/15098992 ")</f>
        <v xml:space="preserve">http://slimages.macys.com/is/image/MCY/15098992 </v>
      </c>
    </row>
    <row r="59" spans="1:12" ht="24.75" x14ac:dyDescent="0.25">
      <c r="A59" s="4" t="s">
        <v>4003</v>
      </c>
      <c r="B59" s="5" t="s">
        <v>4004</v>
      </c>
      <c r="C59" s="6">
        <v>2</v>
      </c>
      <c r="D59" s="7">
        <v>59.98</v>
      </c>
      <c r="E59" s="6" t="s">
        <v>4005</v>
      </c>
      <c r="F59" s="5" t="s">
        <v>394</v>
      </c>
      <c r="G59" s="8"/>
      <c r="H59" s="5" t="s">
        <v>734</v>
      </c>
      <c r="I59" s="5" t="s">
        <v>4006</v>
      </c>
      <c r="J59" s="5" t="s">
        <v>20</v>
      </c>
      <c r="K59" s="5"/>
      <c r="L59" s="9" t="str">
        <f>HYPERLINK("http://slimages.macys.com/is/image/MCY/8397384 ")</f>
        <v xml:space="preserve">http://slimages.macys.com/is/image/MCY/8397384 </v>
      </c>
    </row>
    <row r="60" spans="1:12" ht="24.75" x14ac:dyDescent="0.25">
      <c r="A60" s="4" t="s">
        <v>4007</v>
      </c>
      <c r="B60" s="5" t="s">
        <v>4008</v>
      </c>
      <c r="C60" s="6">
        <v>1</v>
      </c>
      <c r="D60" s="7">
        <v>64.989999999999995</v>
      </c>
      <c r="E60" s="6" t="s">
        <v>4009</v>
      </c>
      <c r="F60" s="5" t="s">
        <v>922</v>
      </c>
      <c r="G60" s="8"/>
      <c r="H60" s="5" t="s">
        <v>707</v>
      </c>
      <c r="I60" s="5" t="s">
        <v>730</v>
      </c>
      <c r="J60" s="5" t="s">
        <v>20</v>
      </c>
      <c r="K60" s="5" t="s">
        <v>846</v>
      </c>
      <c r="L60" s="9" t="str">
        <f>HYPERLINK("http://slimages.macys.com/is/image/MCY/8182285 ")</f>
        <v xml:space="preserve">http://slimages.macys.com/is/image/MCY/8182285 </v>
      </c>
    </row>
    <row r="61" spans="1:12" ht="24.75" x14ac:dyDescent="0.25">
      <c r="A61" s="4" t="s">
        <v>3708</v>
      </c>
      <c r="B61" s="5" t="s">
        <v>3709</v>
      </c>
      <c r="C61" s="6">
        <v>3</v>
      </c>
      <c r="D61" s="7">
        <v>194.97</v>
      </c>
      <c r="E61" s="6" t="s">
        <v>3710</v>
      </c>
      <c r="F61" s="5" t="s">
        <v>89</v>
      </c>
      <c r="G61" s="8"/>
      <c r="H61" s="5" t="s">
        <v>707</v>
      </c>
      <c r="I61" s="5" t="s">
        <v>730</v>
      </c>
      <c r="J61" s="5" t="s">
        <v>20</v>
      </c>
      <c r="K61" s="5" t="s">
        <v>846</v>
      </c>
      <c r="L61" s="9" t="str">
        <f>HYPERLINK("http://slimages.macys.com/is/image/MCY/8182285 ")</f>
        <v xml:space="preserve">http://slimages.macys.com/is/image/MCY/8182285 </v>
      </c>
    </row>
    <row r="62" spans="1:12" ht="24.75" x14ac:dyDescent="0.25">
      <c r="A62" s="4" t="s">
        <v>4010</v>
      </c>
      <c r="B62" s="5" t="s">
        <v>4011</v>
      </c>
      <c r="C62" s="6">
        <v>1</v>
      </c>
      <c r="D62" s="7">
        <v>29.99</v>
      </c>
      <c r="E62" s="6">
        <v>75548</v>
      </c>
      <c r="F62" s="5"/>
      <c r="G62" s="8"/>
      <c r="H62" s="5" t="s">
        <v>712</v>
      </c>
      <c r="I62" s="5" t="s">
        <v>1058</v>
      </c>
      <c r="J62" s="5" t="s">
        <v>20</v>
      </c>
      <c r="K62" s="5" t="s">
        <v>4012</v>
      </c>
      <c r="L62" s="9" t="str">
        <f>HYPERLINK("http://slimages.macys.com/is/image/MCY/3813347 ")</f>
        <v xml:space="preserve">http://slimages.macys.com/is/image/MCY/3813347 </v>
      </c>
    </row>
    <row r="63" spans="1:12" ht="24.75" x14ac:dyDescent="0.25">
      <c r="A63" s="4" t="s">
        <v>4013</v>
      </c>
      <c r="B63" s="5" t="s">
        <v>4014</v>
      </c>
      <c r="C63" s="6">
        <v>1</v>
      </c>
      <c r="D63" s="7">
        <v>24.99</v>
      </c>
      <c r="E63" s="6" t="s">
        <v>4015</v>
      </c>
      <c r="F63" s="5" t="s">
        <v>1772</v>
      </c>
      <c r="G63" s="8"/>
      <c r="H63" s="5" t="s">
        <v>765</v>
      </c>
      <c r="I63" s="5" t="s">
        <v>2475</v>
      </c>
      <c r="J63" s="5" t="s">
        <v>20</v>
      </c>
      <c r="K63" s="5" t="s">
        <v>396</v>
      </c>
      <c r="L63" s="9" t="str">
        <f>HYPERLINK("http://slimages.macys.com/is/image/MCY/2861128 ")</f>
        <v xml:space="preserve">http://slimages.macys.com/is/image/MCY/2861128 </v>
      </c>
    </row>
    <row r="64" spans="1:12" ht="24.75" x14ac:dyDescent="0.25">
      <c r="A64" s="4" t="s">
        <v>3617</v>
      </c>
      <c r="B64" s="5" t="s">
        <v>3618</v>
      </c>
      <c r="C64" s="6">
        <v>1</v>
      </c>
      <c r="D64" s="7">
        <v>25.99</v>
      </c>
      <c r="E64" s="6">
        <v>55907</v>
      </c>
      <c r="F64" s="5" t="s">
        <v>206</v>
      </c>
      <c r="G64" s="8"/>
      <c r="H64" s="5" t="s">
        <v>745</v>
      </c>
      <c r="I64" s="5" t="s">
        <v>1630</v>
      </c>
      <c r="J64" s="5" t="s">
        <v>20</v>
      </c>
      <c r="K64" s="5" t="s">
        <v>396</v>
      </c>
      <c r="L64" s="9" t="str">
        <f>HYPERLINK("http://slimages.macys.com/is/image/MCY/14663227 ")</f>
        <v xml:space="preserve">http://slimages.macys.com/is/image/MCY/14663227 </v>
      </c>
    </row>
    <row r="65" spans="1:12" ht="48.75" x14ac:dyDescent="0.25">
      <c r="A65" s="4" t="s">
        <v>4016</v>
      </c>
      <c r="B65" s="5" t="s">
        <v>4017</v>
      </c>
      <c r="C65" s="6">
        <v>1</v>
      </c>
      <c r="D65" s="7">
        <v>29.99</v>
      </c>
      <c r="E65" s="6">
        <v>63976</v>
      </c>
      <c r="F65" s="5" t="s">
        <v>89</v>
      </c>
      <c r="G65" s="8"/>
      <c r="H65" s="5" t="s">
        <v>782</v>
      </c>
      <c r="I65" s="5" t="s">
        <v>835</v>
      </c>
      <c r="J65" s="5" t="s">
        <v>1067</v>
      </c>
      <c r="K65" s="5" t="s">
        <v>1606</v>
      </c>
      <c r="L65" s="9" t="str">
        <f>HYPERLINK("http://slimages.macys.com/is/image/MCY/3181504 ")</f>
        <v xml:space="preserve">http://slimages.macys.com/is/image/MCY/3181504 </v>
      </c>
    </row>
    <row r="66" spans="1:12" ht="24.75" x14ac:dyDescent="0.25">
      <c r="A66" s="4" t="s">
        <v>4018</v>
      </c>
      <c r="B66" s="5" t="s">
        <v>4019</v>
      </c>
      <c r="C66" s="6">
        <v>1</v>
      </c>
      <c r="D66" s="7">
        <v>24.99</v>
      </c>
      <c r="E66" s="6" t="s">
        <v>4020</v>
      </c>
      <c r="F66" s="5" t="s">
        <v>1124</v>
      </c>
      <c r="G66" s="8"/>
      <c r="H66" s="5" t="s">
        <v>718</v>
      </c>
      <c r="I66" s="5" t="s">
        <v>1624</v>
      </c>
      <c r="J66" s="5"/>
      <c r="K66" s="5"/>
      <c r="L66" s="9" t="str">
        <f>HYPERLINK("http://slimages.macys.com/is/image/MCY/17923602 ")</f>
        <v xml:space="preserve">http://slimages.macys.com/is/image/MCY/17923602 </v>
      </c>
    </row>
    <row r="67" spans="1:12" ht="24.75" x14ac:dyDescent="0.25">
      <c r="A67" s="4" t="s">
        <v>4021</v>
      </c>
      <c r="B67" s="5" t="s">
        <v>4022</v>
      </c>
      <c r="C67" s="6">
        <v>1</v>
      </c>
      <c r="D67" s="7">
        <v>29.99</v>
      </c>
      <c r="E67" s="6" t="s">
        <v>4023</v>
      </c>
      <c r="F67" s="5"/>
      <c r="G67" s="8"/>
      <c r="H67" s="5" t="s">
        <v>712</v>
      </c>
      <c r="I67" s="5" t="s">
        <v>3128</v>
      </c>
      <c r="J67" s="5" t="s">
        <v>20</v>
      </c>
      <c r="K67" s="5" t="s">
        <v>396</v>
      </c>
      <c r="L67" s="9" t="str">
        <f>HYPERLINK("http://slimages.macys.com/is/image/MCY/16143264 ")</f>
        <v xml:space="preserve">http://slimages.macys.com/is/image/MCY/16143264 </v>
      </c>
    </row>
    <row r="68" spans="1:12" ht="24.75" x14ac:dyDescent="0.25">
      <c r="A68" s="4" t="s">
        <v>4024</v>
      </c>
      <c r="B68" s="5" t="s">
        <v>4025</v>
      </c>
      <c r="C68" s="6">
        <v>1</v>
      </c>
      <c r="D68" s="7">
        <v>19.989999999999998</v>
      </c>
      <c r="E68" s="6">
        <v>48086</v>
      </c>
      <c r="F68" s="5" t="s">
        <v>206</v>
      </c>
      <c r="G68" s="8"/>
      <c r="H68" s="5" t="s">
        <v>745</v>
      </c>
      <c r="I68" s="5" t="s">
        <v>1630</v>
      </c>
      <c r="J68" s="5" t="s">
        <v>20</v>
      </c>
      <c r="K68" s="5" t="s">
        <v>396</v>
      </c>
      <c r="L68" s="9" t="str">
        <f>HYPERLINK("http://slimages.macys.com/is/image/MCY/12936575 ")</f>
        <v xml:space="preserve">http://slimages.macys.com/is/image/MCY/12936575 </v>
      </c>
    </row>
    <row r="69" spans="1:12" ht="24.75" x14ac:dyDescent="0.25">
      <c r="A69" s="4" t="s">
        <v>4026</v>
      </c>
      <c r="B69" s="5" t="s">
        <v>4027</v>
      </c>
      <c r="C69" s="6">
        <v>2</v>
      </c>
      <c r="D69" s="7">
        <v>27.98</v>
      </c>
      <c r="E69" s="6" t="s">
        <v>4028</v>
      </c>
      <c r="F69" s="5" t="s">
        <v>755</v>
      </c>
      <c r="G69" s="8"/>
      <c r="H69" s="5" t="s">
        <v>718</v>
      </c>
      <c r="I69" s="5" t="s">
        <v>856</v>
      </c>
      <c r="J69" s="5" t="s">
        <v>20</v>
      </c>
      <c r="K69" s="5" t="s">
        <v>861</v>
      </c>
      <c r="L69" s="9" t="str">
        <f>HYPERLINK("http://slimages.macys.com/is/image/MCY/10683271 ")</f>
        <v xml:space="preserve">http://slimages.macys.com/is/image/MCY/10683271 </v>
      </c>
    </row>
    <row r="70" spans="1:12" ht="24.75" x14ac:dyDescent="0.25">
      <c r="A70" s="4" t="s">
        <v>2037</v>
      </c>
      <c r="B70" s="5" t="s">
        <v>2038</v>
      </c>
      <c r="C70" s="6">
        <v>1</v>
      </c>
      <c r="D70" s="7">
        <v>19.989999999999998</v>
      </c>
      <c r="E70" s="6" t="s">
        <v>2039</v>
      </c>
      <c r="F70" s="5" t="s">
        <v>78</v>
      </c>
      <c r="G70" s="8" t="s">
        <v>1012</v>
      </c>
      <c r="H70" s="5" t="s">
        <v>916</v>
      </c>
      <c r="I70" s="5" t="s">
        <v>917</v>
      </c>
      <c r="J70" s="5" t="s">
        <v>20</v>
      </c>
      <c r="K70" s="5" t="s">
        <v>330</v>
      </c>
      <c r="L70" s="9" t="str">
        <f>HYPERLINK("http://slimages.macys.com/is/image/MCY/13285490 ")</f>
        <v xml:space="preserve">http://slimages.macys.com/is/image/MCY/13285490 </v>
      </c>
    </row>
    <row r="71" spans="1:12" ht="24.75" x14ac:dyDescent="0.25">
      <c r="A71" s="4" t="s">
        <v>4029</v>
      </c>
      <c r="B71" s="5" t="s">
        <v>4030</v>
      </c>
      <c r="C71" s="6">
        <v>1</v>
      </c>
      <c r="D71" s="7">
        <v>10.99</v>
      </c>
      <c r="E71" s="6">
        <v>1641766</v>
      </c>
      <c r="F71" s="5" t="s">
        <v>89</v>
      </c>
      <c r="G71" s="8"/>
      <c r="H71" s="5" t="s">
        <v>782</v>
      </c>
      <c r="I71" s="5" t="s">
        <v>4031</v>
      </c>
      <c r="J71" s="5"/>
      <c r="K71" s="5"/>
      <c r="L71" s="9" t="str">
        <f>HYPERLINK("http://slimages.macys.com/is/image/MCY/18514727 ")</f>
        <v xml:space="preserve">http://slimages.macys.com/is/image/MCY/18514727 </v>
      </c>
    </row>
    <row r="72" spans="1:12" ht="24.75" x14ac:dyDescent="0.25">
      <c r="A72" s="4" t="s">
        <v>1769</v>
      </c>
      <c r="B72" s="5" t="s">
        <v>1770</v>
      </c>
      <c r="C72" s="6">
        <v>1</v>
      </c>
      <c r="D72" s="7">
        <v>7.99</v>
      </c>
      <c r="E72" s="6" t="s">
        <v>1771</v>
      </c>
      <c r="F72" s="5" t="s">
        <v>1772</v>
      </c>
      <c r="G72" s="8" t="s">
        <v>954</v>
      </c>
      <c r="H72" s="5" t="s">
        <v>940</v>
      </c>
      <c r="I72" s="5" t="s">
        <v>1166</v>
      </c>
      <c r="J72" s="5"/>
      <c r="K72" s="5"/>
      <c r="L72" s="9" t="str">
        <f>HYPERLINK("http://slimages.macys.com/is/image/MCY/17492917 ")</f>
        <v xml:space="preserve">http://slimages.macys.com/is/image/MCY/17492917 </v>
      </c>
    </row>
    <row r="73" spans="1:12" ht="24.75" x14ac:dyDescent="0.25">
      <c r="A73" s="4" t="s">
        <v>4032</v>
      </c>
      <c r="B73" s="5" t="s">
        <v>4033</v>
      </c>
      <c r="C73" s="6">
        <v>1</v>
      </c>
      <c r="D73" s="7">
        <v>9.99</v>
      </c>
      <c r="E73" s="6" t="s">
        <v>4034</v>
      </c>
      <c r="F73" s="5" t="s">
        <v>965</v>
      </c>
      <c r="G73" s="8" t="s">
        <v>954</v>
      </c>
      <c r="H73" s="5" t="s">
        <v>916</v>
      </c>
      <c r="I73" s="5" t="s">
        <v>1004</v>
      </c>
      <c r="J73" s="5" t="s">
        <v>20</v>
      </c>
      <c r="K73" s="5" t="s">
        <v>798</v>
      </c>
      <c r="L73" s="9" t="str">
        <f>HYPERLINK("http://slimages.macys.com/is/image/MCY/12723168 ")</f>
        <v xml:space="preserve">http://slimages.macys.com/is/image/MCY/12723168 </v>
      </c>
    </row>
    <row r="74" spans="1:12" ht="24.75" x14ac:dyDescent="0.25">
      <c r="A74" s="4" t="s">
        <v>4035</v>
      </c>
      <c r="B74" s="5" t="s">
        <v>4036</v>
      </c>
      <c r="C74" s="6">
        <v>1</v>
      </c>
      <c r="D74" s="7">
        <v>6.99</v>
      </c>
      <c r="E74" s="6">
        <v>1006097200</v>
      </c>
      <c r="F74" s="5" t="s">
        <v>965</v>
      </c>
      <c r="G74" s="8" t="s">
        <v>1179</v>
      </c>
      <c r="H74" s="5" t="s">
        <v>916</v>
      </c>
      <c r="I74" s="5" t="s">
        <v>1561</v>
      </c>
      <c r="J74" s="5" t="s">
        <v>20</v>
      </c>
      <c r="K74" s="5" t="s">
        <v>1652</v>
      </c>
      <c r="L74" s="9" t="str">
        <f>HYPERLINK("http://slimages.macys.com/is/image/MCY/14321125 ")</f>
        <v xml:space="preserve">http://slimages.macys.com/is/image/MCY/14321125 </v>
      </c>
    </row>
    <row r="75" spans="1:12" ht="24.75" x14ac:dyDescent="0.25">
      <c r="A75" s="4" t="s">
        <v>4037</v>
      </c>
      <c r="B75" s="5" t="s">
        <v>4038</v>
      </c>
      <c r="C75" s="6">
        <v>1</v>
      </c>
      <c r="D75" s="7">
        <v>69.989999999999995</v>
      </c>
      <c r="E75" s="6" t="s">
        <v>4039</v>
      </c>
      <c r="F75" s="5" t="s">
        <v>555</v>
      </c>
      <c r="G75" s="8" t="s">
        <v>899</v>
      </c>
      <c r="H75" s="5" t="s">
        <v>745</v>
      </c>
      <c r="I75" s="5" t="s">
        <v>1659</v>
      </c>
      <c r="J75" s="5"/>
      <c r="K75" s="5"/>
      <c r="L75" s="9"/>
    </row>
    <row r="76" spans="1:12" ht="24.75" x14ac:dyDescent="0.25">
      <c r="A76" s="4" t="s">
        <v>1019</v>
      </c>
      <c r="B76" s="5" t="s">
        <v>694</v>
      </c>
      <c r="C76" s="6">
        <v>3</v>
      </c>
      <c r="D76" s="7">
        <v>120</v>
      </c>
      <c r="E76" s="6"/>
      <c r="F76" s="5" t="s">
        <v>16</v>
      </c>
      <c r="G76" s="8" t="s">
        <v>17</v>
      </c>
      <c r="H76" s="5" t="s">
        <v>695</v>
      </c>
      <c r="I76" s="5" t="s">
        <v>696</v>
      </c>
      <c r="J76" s="5"/>
      <c r="K76" s="5"/>
      <c r="L76" s="9"/>
    </row>
    <row r="77" spans="1:12" ht="24.75" x14ac:dyDescent="0.25">
      <c r="A77" s="4" t="s">
        <v>4040</v>
      </c>
      <c r="B77" s="5" t="s">
        <v>4041</v>
      </c>
      <c r="C77" s="6">
        <v>1</v>
      </c>
      <c r="D77" s="7">
        <v>49.99</v>
      </c>
      <c r="E77" s="6">
        <v>22366338</v>
      </c>
      <c r="F77" s="5" t="s">
        <v>1124</v>
      </c>
      <c r="G77" s="8"/>
      <c r="H77" s="5" t="s">
        <v>718</v>
      </c>
      <c r="I77" s="5" t="s">
        <v>1092</v>
      </c>
      <c r="J77" s="5"/>
      <c r="K77" s="5"/>
      <c r="L77" s="9"/>
    </row>
    <row r="78" spans="1:12" ht="24.75" x14ac:dyDescent="0.25">
      <c r="A78" s="4" t="s">
        <v>4042</v>
      </c>
      <c r="B78" s="5" t="s">
        <v>4043</v>
      </c>
      <c r="C78" s="6">
        <v>1</v>
      </c>
      <c r="D78" s="7">
        <v>34.99</v>
      </c>
      <c r="E78" s="6" t="s">
        <v>4044</v>
      </c>
      <c r="F78" s="5" t="s">
        <v>555</v>
      </c>
      <c r="G78" s="8" t="s">
        <v>899</v>
      </c>
      <c r="H78" s="5" t="s">
        <v>745</v>
      </c>
      <c r="I78" s="5" t="s">
        <v>746</v>
      </c>
      <c r="J78" s="5"/>
      <c r="K78" s="5"/>
      <c r="L78" s="9"/>
    </row>
    <row r="79" spans="1:12" ht="24.75" x14ac:dyDescent="0.25">
      <c r="A79" s="4" t="s">
        <v>4045</v>
      </c>
      <c r="B79" s="5" t="s">
        <v>4046</v>
      </c>
      <c r="C79" s="6">
        <v>2</v>
      </c>
      <c r="D79" s="7">
        <v>59.98</v>
      </c>
      <c r="E79" s="6" t="s">
        <v>4047</v>
      </c>
      <c r="F79" s="5" t="s">
        <v>31</v>
      </c>
      <c r="G79" s="8"/>
      <c r="H79" s="5" t="s">
        <v>718</v>
      </c>
      <c r="I79" s="5" t="s">
        <v>1624</v>
      </c>
      <c r="J79" s="5"/>
      <c r="K79" s="5"/>
      <c r="L79" s="9"/>
    </row>
    <row r="80" spans="1:12" ht="24.75" x14ac:dyDescent="0.25">
      <c r="A80" s="4" t="s">
        <v>4048</v>
      </c>
      <c r="B80" s="5" t="s">
        <v>4049</v>
      </c>
      <c r="C80" s="6">
        <v>1</v>
      </c>
      <c r="D80" s="7">
        <v>29.99</v>
      </c>
      <c r="E80" s="6">
        <v>22254322</v>
      </c>
      <c r="F80" s="5" t="s">
        <v>394</v>
      </c>
      <c r="G80" s="8"/>
      <c r="H80" s="5" t="s">
        <v>712</v>
      </c>
      <c r="I80" s="5" t="s">
        <v>1092</v>
      </c>
      <c r="J80" s="5"/>
      <c r="K80" s="5"/>
      <c r="L80" s="9"/>
    </row>
    <row r="81" spans="1:12" ht="24.75" x14ac:dyDescent="0.25">
      <c r="A81" s="4" t="s">
        <v>4050</v>
      </c>
      <c r="B81" s="5" t="s">
        <v>4051</v>
      </c>
      <c r="C81" s="6">
        <v>2</v>
      </c>
      <c r="D81" s="7">
        <v>33.979999999999997</v>
      </c>
      <c r="E81" s="6">
        <v>1641545</v>
      </c>
      <c r="F81" s="5" t="s">
        <v>89</v>
      </c>
      <c r="G81" s="8"/>
      <c r="H81" s="5" t="s">
        <v>782</v>
      </c>
      <c r="I81" s="5" t="s">
        <v>4031</v>
      </c>
      <c r="J81" s="5"/>
      <c r="K81" s="5"/>
      <c r="L81" s="9"/>
    </row>
    <row r="82" spans="1:12" ht="24.75" x14ac:dyDescent="0.25">
      <c r="A82" s="4" t="s">
        <v>3858</v>
      </c>
      <c r="B82" s="5" t="s">
        <v>3859</v>
      </c>
      <c r="C82" s="6">
        <v>1</v>
      </c>
      <c r="D82" s="7">
        <v>25.99</v>
      </c>
      <c r="E82" s="6">
        <v>1010328800</v>
      </c>
      <c r="F82" s="5" t="s">
        <v>555</v>
      </c>
      <c r="G82" s="8"/>
      <c r="H82" s="5" t="s">
        <v>2711</v>
      </c>
      <c r="I82" s="5" t="s">
        <v>3860</v>
      </c>
      <c r="J82" s="5"/>
      <c r="K82" s="5"/>
      <c r="L82" s="9"/>
    </row>
    <row r="83" spans="1:12" ht="24.75" x14ac:dyDescent="0.25">
      <c r="A83" s="4" t="s">
        <v>4052</v>
      </c>
      <c r="B83" s="5" t="s">
        <v>4053</v>
      </c>
      <c r="C83" s="6">
        <v>1</v>
      </c>
      <c r="D83" s="7">
        <v>29.99</v>
      </c>
      <c r="E83" s="6" t="s">
        <v>4054</v>
      </c>
      <c r="F83" s="5" t="s">
        <v>922</v>
      </c>
      <c r="G83" s="8"/>
      <c r="H83" s="5" t="s">
        <v>772</v>
      </c>
      <c r="I83" s="5" t="s">
        <v>2523</v>
      </c>
      <c r="J83" s="5"/>
      <c r="K83" s="5"/>
      <c r="L83" s="9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1"/>
  <sheetViews>
    <sheetView topLeftCell="A67" workbookViewId="0">
      <selection activeCell="C71" sqref="C71"/>
    </sheetView>
  </sheetViews>
  <sheetFormatPr defaultRowHeight="15" x14ac:dyDescent="0.25"/>
  <cols>
    <col min="1" max="1" width="14.28515625" customWidth="1"/>
    <col min="2" max="2" width="22.28515625" customWidth="1"/>
    <col min="3" max="3" width="15" customWidth="1"/>
    <col min="4" max="4" width="8.7109375" bestFit="1" customWidth="1"/>
    <col min="5" max="5" width="17.140625" customWidth="1"/>
    <col min="6" max="6" width="11.42578125" customWidth="1"/>
    <col min="7" max="7" width="10.85546875" customWidth="1"/>
    <col min="8" max="8" width="12.140625" customWidth="1"/>
    <col min="9" max="9" width="36.5703125" bestFit="1" customWidth="1"/>
    <col min="10" max="11" width="20.7109375" customWidth="1"/>
    <col min="12" max="12" width="27.140625" customWidth="1"/>
  </cols>
  <sheetData>
    <row r="1" spans="1:12" ht="36" x14ac:dyDescent="0.25">
      <c r="A1" s="18" t="s">
        <v>2</v>
      </c>
      <c r="B1" s="18" t="s">
        <v>3</v>
      </c>
      <c r="C1" s="18" t="s">
        <v>4</v>
      </c>
      <c r="D1" s="18" t="s">
        <v>5</v>
      </c>
      <c r="E1" s="18" t="s">
        <v>6</v>
      </c>
      <c r="F1" s="18" t="s">
        <v>7</v>
      </c>
      <c r="G1" s="18" t="s">
        <v>8</v>
      </c>
      <c r="H1" s="18" t="s">
        <v>9</v>
      </c>
      <c r="I1" s="18" t="s">
        <v>10</v>
      </c>
      <c r="J1" s="18" t="s">
        <v>11</v>
      </c>
      <c r="K1" s="18" t="s">
        <v>12</v>
      </c>
      <c r="L1" s="18" t="s">
        <v>13</v>
      </c>
    </row>
    <row r="2" spans="1:12" ht="36" x14ac:dyDescent="0.25">
      <c r="A2" s="19" t="s">
        <v>444</v>
      </c>
      <c r="B2" s="20" t="s">
        <v>445</v>
      </c>
      <c r="C2" s="21">
        <v>1</v>
      </c>
      <c r="D2" s="22">
        <v>385.99</v>
      </c>
      <c r="E2" s="21" t="s">
        <v>446</v>
      </c>
      <c r="F2" s="20" t="s">
        <v>89</v>
      </c>
      <c r="G2" s="19" t="s">
        <v>17</v>
      </c>
      <c r="H2" s="20" t="s">
        <v>328</v>
      </c>
      <c r="I2" s="20" t="s">
        <v>447</v>
      </c>
      <c r="J2" s="20" t="s">
        <v>20</v>
      </c>
      <c r="K2" s="20" t="s">
        <v>396</v>
      </c>
      <c r="L2" s="23" t="str">
        <f>HYPERLINK("http://slimages.macys.com/is/image/MCY/15256813 ")</f>
        <v xml:space="preserve">http://slimages.macys.com/is/image/MCY/15256813 </v>
      </c>
    </row>
    <row r="3" spans="1:12" ht="60" x14ac:dyDescent="0.25">
      <c r="A3" s="19" t="s">
        <v>448</v>
      </c>
      <c r="B3" s="20" t="s">
        <v>449</v>
      </c>
      <c r="C3" s="21">
        <v>3</v>
      </c>
      <c r="D3" s="22">
        <v>613.79999999999995</v>
      </c>
      <c r="E3" s="21">
        <v>19731</v>
      </c>
      <c r="F3" s="20"/>
      <c r="G3" s="19"/>
      <c r="H3" s="20" t="s">
        <v>79</v>
      </c>
      <c r="I3" s="20" t="s">
        <v>450</v>
      </c>
      <c r="J3" s="20" t="s">
        <v>20</v>
      </c>
      <c r="K3" s="20" t="s">
        <v>451</v>
      </c>
      <c r="L3" s="23" t="str">
        <f>HYPERLINK("http://slimages.macys.com/is/image/MCY/9838474 ")</f>
        <v xml:space="preserve">http://slimages.macys.com/is/image/MCY/9838474 </v>
      </c>
    </row>
    <row r="4" spans="1:12" ht="24" x14ac:dyDescent="0.25">
      <c r="A4" s="19" t="s">
        <v>452</v>
      </c>
      <c r="B4" s="20" t="s">
        <v>453</v>
      </c>
      <c r="C4" s="21">
        <v>2</v>
      </c>
      <c r="D4" s="22">
        <v>400</v>
      </c>
      <c r="E4" s="21">
        <v>144568</v>
      </c>
      <c r="F4" s="20" t="s">
        <v>16</v>
      </c>
      <c r="G4" s="19" t="s">
        <v>17</v>
      </c>
      <c r="H4" s="20" t="s">
        <v>65</v>
      </c>
      <c r="I4" s="20" t="s">
        <v>454</v>
      </c>
      <c r="J4" s="20" t="s">
        <v>20</v>
      </c>
      <c r="K4" s="20" t="s">
        <v>455</v>
      </c>
      <c r="L4" s="23" t="str">
        <f>HYPERLINK("http://slimages.macys.com/is/image/MCY/9717093 ")</f>
        <v xml:space="preserve">http://slimages.macys.com/is/image/MCY/9717093 </v>
      </c>
    </row>
    <row r="5" spans="1:12" ht="36" x14ac:dyDescent="0.25">
      <c r="A5" s="19" t="s">
        <v>456</v>
      </c>
      <c r="B5" s="20" t="s">
        <v>457</v>
      </c>
      <c r="C5" s="21">
        <v>1</v>
      </c>
      <c r="D5" s="22">
        <v>173.99</v>
      </c>
      <c r="E5" s="21" t="s">
        <v>458</v>
      </c>
      <c r="F5" s="20" t="s">
        <v>89</v>
      </c>
      <c r="G5" s="19" t="s">
        <v>17</v>
      </c>
      <c r="H5" s="20" t="s">
        <v>79</v>
      </c>
      <c r="I5" s="20" t="s">
        <v>80</v>
      </c>
      <c r="J5" s="20" t="s">
        <v>20</v>
      </c>
      <c r="K5" s="20" t="s">
        <v>459</v>
      </c>
      <c r="L5" s="23" t="str">
        <f>HYPERLINK("http://slimages.macys.com/is/image/MCY/12772938 ")</f>
        <v xml:space="preserve">http://slimages.macys.com/is/image/MCY/12772938 </v>
      </c>
    </row>
    <row r="6" spans="1:12" ht="120" x14ac:dyDescent="0.25">
      <c r="A6" s="19" t="s">
        <v>460</v>
      </c>
      <c r="B6" s="20" t="s">
        <v>461</v>
      </c>
      <c r="C6" s="21">
        <v>2</v>
      </c>
      <c r="D6" s="22">
        <v>511.98</v>
      </c>
      <c r="E6" s="21" t="s">
        <v>462</v>
      </c>
      <c r="F6" s="20" t="s">
        <v>16</v>
      </c>
      <c r="G6" s="19"/>
      <c r="H6" s="20" t="s">
        <v>79</v>
      </c>
      <c r="I6" s="20" t="s">
        <v>463</v>
      </c>
      <c r="J6" s="20" t="s">
        <v>110</v>
      </c>
      <c r="K6" s="20" t="s">
        <v>464</v>
      </c>
      <c r="L6" s="23" t="str">
        <f>HYPERLINK("http://slimages.macys.com/is/image/MCY/13798420 ")</f>
        <v xml:space="preserve">http://slimages.macys.com/is/image/MCY/13798420 </v>
      </c>
    </row>
    <row r="7" spans="1:12" ht="24" x14ac:dyDescent="0.25">
      <c r="A7" s="19" t="s">
        <v>465</v>
      </c>
      <c r="B7" s="20" t="s">
        <v>466</v>
      </c>
      <c r="C7" s="21">
        <v>1</v>
      </c>
      <c r="D7" s="22">
        <v>118</v>
      </c>
      <c r="E7" s="21">
        <v>40027653</v>
      </c>
      <c r="F7" s="20" t="s">
        <v>89</v>
      </c>
      <c r="G7" s="19" t="s">
        <v>467</v>
      </c>
      <c r="H7" s="20" t="s">
        <v>108</v>
      </c>
      <c r="I7" s="20" t="s">
        <v>468</v>
      </c>
      <c r="J7" s="20" t="s">
        <v>20</v>
      </c>
      <c r="K7" s="20" t="s">
        <v>98</v>
      </c>
      <c r="L7" s="23" t="str">
        <f>HYPERLINK("http://slimages.macys.com/is/image/MCY/11961643 ")</f>
        <v xml:space="preserve">http://slimages.macys.com/is/image/MCY/11961643 </v>
      </c>
    </row>
    <row r="8" spans="1:12" ht="24" x14ac:dyDescent="0.25">
      <c r="A8" s="19" t="s">
        <v>469</v>
      </c>
      <c r="B8" s="20" t="s">
        <v>470</v>
      </c>
      <c r="C8" s="21">
        <v>1</v>
      </c>
      <c r="D8" s="22">
        <v>73.5</v>
      </c>
      <c r="E8" s="21">
        <v>4035411</v>
      </c>
      <c r="F8" s="20" t="s">
        <v>289</v>
      </c>
      <c r="G8" s="19" t="s">
        <v>40</v>
      </c>
      <c r="H8" s="20" t="s">
        <v>41</v>
      </c>
      <c r="I8" s="20" t="s">
        <v>471</v>
      </c>
      <c r="J8" s="20" t="s">
        <v>20</v>
      </c>
      <c r="K8" s="20" t="s">
        <v>92</v>
      </c>
      <c r="L8" s="23" t="str">
        <f>HYPERLINK("http://slimages.macys.com/is/image/MCY/2517119 ")</f>
        <v xml:space="preserve">http://slimages.macys.com/is/image/MCY/2517119 </v>
      </c>
    </row>
    <row r="9" spans="1:12" ht="36" x14ac:dyDescent="0.25">
      <c r="A9" s="19" t="s">
        <v>472</v>
      </c>
      <c r="B9" s="20" t="s">
        <v>473</v>
      </c>
      <c r="C9" s="21">
        <v>1</v>
      </c>
      <c r="D9" s="22">
        <v>73</v>
      </c>
      <c r="E9" s="21" t="s">
        <v>474</v>
      </c>
      <c r="F9" s="20" t="s">
        <v>54</v>
      </c>
      <c r="G9" s="19" t="s">
        <v>17</v>
      </c>
      <c r="H9" s="20" t="s">
        <v>56</v>
      </c>
      <c r="I9" s="20" t="s">
        <v>475</v>
      </c>
      <c r="J9" s="20" t="s">
        <v>20</v>
      </c>
      <c r="K9" s="20" t="s">
        <v>208</v>
      </c>
      <c r="L9" s="23" t="str">
        <f>HYPERLINK("http://slimages.macys.com/is/image/MCY/13414718 ")</f>
        <v xml:space="preserve">http://slimages.macys.com/is/image/MCY/13414718 </v>
      </c>
    </row>
    <row r="10" spans="1:12" ht="24" x14ac:dyDescent="0.25">
      <c r="A10" s="19" t="s">
        <v>476</v>
      </c>
      <c r="B10" s="20" t="s">
        <v>477</v>
      </c>
      <c r="C10" s="21">
        <v>1</v>
      </c>
      <c r="D10" s="22">
        <v>59.99</v>
      </c>
      <c r="E10" s="21" t="s">
        <v>478</v>
      </c>
      <c r="F10" s="20"/>
      <c r="G10" s="19" t="s">
        <v>467</v>
      </c>
      <c r="H10" s="20" t="s">
        <v>108</v>
      </c>
      <c r="I10" s="20" t="s">
        <v>479</v>
      </c>
      <c r="J10" s="20" t="s">
        <v>20</v>
      </c>
      <c r="K10" s="20" t="s">
        <v>21</v>
      </c>
      <c r="L10" s="23" t="str">
        <f>HYPERLINK("http://slimages.macys.com/is/image/MCY/11290095 ")</f>
        <v xml:space="preserve">http://slimages.macys.com/is/image/MCY/11290095 </v>
      </c>
    </row>
    <row r="11" spans="1:12" ht="36" x14ac:dyDescent="0.25">
      <c r="A11" s="19" t="s">
        <v>480</v>
      </c>
      <c r="B11" s="20" t="s">
        <v>481</v>
      </c>
      <c r="C11" s="21">
        <v>1</v>
      </c>
      <c r="D11" s="22">
        <v>64.989999999999995</v>
      </c>
      <c r="E11" s="21" t="s">
        <v>482</v>
      </c>
      <c r="F11" s="20" t="s">
        <v>483</v>
      </c>
      <c r="G11" s="19" t="s">
        <v>55</v>
      </c>
      <c r="H11" s="20" t="s">
        <v>56</v>
      </c>
      <c r="I11" s="20" t="s">
        <v>432</v>
      </c>
      <c r="J11" s="20"/>
      <c r="K11" s="20"/>
      <c r="L11" s="23" t="str">
        <f>HYPERLINK("http://slimages.macys.com/is/image/MCY/1849717 ")</f>
        <v xml:space="preserve">http://slimages.macys.com/is/image/MCY/1849717 </v>
      </c>
    </row>
    <row r="12" spans="1:12" ht="24" x14ac:dyDescent="0.25">
      <c r="A12" s="19" t="s">
        <v>484</v>
      </c>
      <c r="B12" s="20" t="s">
        <v>485</v>
      </c>
      <c r="C12" s="21">
        <v>1</v>
      </c>
      <c r="D12" s="22">
        <v>78.989999999999995</v>
      </c>
      <c r="E12" s="21" t="s">
        <v>486</v>
      </c>
      <c r="F12" s="20" t="s">
        <v>289</v>
      </c>
      <c r="G12" s="19"/>
      <c r="H12" s="20" t="s">
        <v>328</v>
      </c>
      <c r="I12" s="20" t="s">
        <v>487</v>
      </c>
      <c r="J12" s="20" t="s">
        <v>110</v>
      </c>
      <c r="K12" s="20" t="s">
        <v>488</v>
      </c>
      <c r="L12" s="23" t="str">
        <f>HYPERLINK("http://slimages.macys.com/is/image/MCY/2754316 ")</f>
        <v xml:space="preserve">http://slimages.macys.com/is/image/MCY/2754316 </v>
      </c>
    </row>
    <row r="13" spans="1:12" ht="24" x14ac:dyDescent="0.25">
      <c r="A13" s="19" t="s">
        <v>489</v>
      </c>
      <c r="B13" s="20" t="s">
        <v>490</v>
      </c>
      <c r="C13" s="21">
        <v>2</v>
      </c>
      <c r="D13" s="22">
        <v>219.98</v>
      </c>
      <c r="E13" s="21">
        <v>300041</v>
      </c>
      <c r="F13" s="20" t="s">
        <v>54</v>
      </c>
      <c r="G13" s="19"/>
      <c r="H13" s="20" t="s">
        <v>56</v>
      </c>
      <c r="I13" s="20" t="s">
        <v>491</v>
      </c>
      <c r="J13" s="20" t="s">
        <v>20</v>
      </c>
      <c r="K13" s="20" t="s">
        <v>492</v>
      </c>
      <c r="L13" s="23" t="str">
        <f>HYPERLINK("http://slimages.macys.com/is/image/MCY/12645171 ")</f>
        <v xml:space="preserve">http://slimages.macys.com/is/image/MCY/12645171 </v>
      </c>
    </row>
    <row r="14" spans="1:12" ht="36" x14ac:dyDescent="0.25">
      <c r="A14" s="19" t="s">
        <v>493</v>
      </c>
      <c r="B14" s="20" t="s">
        <v>494</v>
      </c>
      <c r="C14" s="21">
        <v>1</v>
      </c>
      <c r="D14" s="22">
        <v>60</v>
      </c>
      <c r="E14" s="21" t="s">
        <v>495</v>
      </c>
      <c r="F14" s="20" t="s">
        <v>89</v>
      </c>
      <c r="G14" s="19" t="s">
        <v>496</v>
      </c>
      <c r="H14" s="20" t="s">
        <v>41</v>
      </c>
      <c r="I14" s="20" t="s">
        <v>244</v>
      </c>
      <c r="J14" s="20" t="s">
        <v>20</v>
      </c>
      <c r="K14" s="20" t="s">
        <v>98</v>
      </c>
      <c r="L14" s="23" t="str">
        <f>HYPERLINK("http://slimages.macys.com/is/image/MCY/9280929 ")</f>
        <v xml:space="preserve">http://slimages.macys.com/is/image/MCY/9280929 </v>
      </c>
    </row>
    <row r="15" spans="1:12" ht="36" x14ac:dyDescent="0.25">
      <c r="A15" s="19" t="s">
        <v>497</v>
      </c>
      <c r="B15" s="20" t="s">
        <v>498</v>
      </c>
      <c r="C15" s="21">
        <v>1</v>
      </c>
      <c r="D15" s="22">
        <v>59.99</v>
      </c>
      <c r="E15" s="21" t="s">
        <v>499</v>
      </c>
      <c r="F15" s="20" t="s">
        <v>16</v>
      </c>
      <c r="G15" s="19" t="s">
        <v>159</v>
      </c>
      <c r="H15" s="20" t="s">
        <v>48</v>
      </c>
      <c r="I15" s="20" t="s">
        <v>432</v>
      </c>
      <c r="J15" s="20"/>
      <c r="K15" s="20"/>
      <c r="L15" s="23" t="str">
        <f>HYPERLINK("http://slimages.macys.com/is/image/MCY/17356874 ")</f>
        <v xml:space="preserve">http://slimages.macys.com/is/image/MCY/17356874 </v>
      </c>
    </row>
    <row r="16" spans="1:12" ht="36" x14ac:dyDescent="0.25">
      <c r="A16" s="19" t="s">
        <v>500</v>
      </c>
      <c r="B16" s="20" t="s">
        <v>501</v>
      </c>
      <c r="C16" s="21">
        <v>3</v>
      </c>
      <c r="D16" s="22">
        <v>167.97</v>
      </c>
      <c r="E16" s="21" t="s">
        <v>502</v>
      </c>
      <c r="F16" s="20" t="s">
        <v>289</v>
      </c>
      <c r="G16" s="19" t="s">
        <v>17</v>
      </c>
      <c r="H16" s="20" t="s">
        <v>79</v>
      </c>
      <c r="I16" s="20" t="s">
        <v>503</v>
      </c>
      <c r="J16" s="20" t="s">
        <v>20</v>
      </c>
      <c r="K16" s="20" t="s">
        <v>504</v>
      </c>
      <c r="L16" s="23" t="str">
        <f>HYPERLINK("http://slimages.macys.com/is/image/MCY/14636278 ")</f>
        <v xml:space="preserve">http://slimages.macys.com/is/image/MCY/14636278 </v>
      </c>
    </row>
    <row r="17" spans="1:12" ht="48" x14ac:dyDescent="0.25">
      <c r="A17" s="19" t="s">
        <v>505</v>
      </c>
      <c r="B17" s="20" t="s">
        <v>506</v>
      </c>
      <c r="C17" s="21">
        <v>1</v>
      </c>
      <c r="D17" s="22">
        <v>54.99</v>
      </c>
      <c r="E17" s="21" t="s">
        <v>507</v>
      </c>
      <c r="F17" s="20" t="s">
        <v>483</v>
      </c>
      <c r="G17" s="19" t="s">
        <v>17</v>
      </c>
      <c r="H17" s="20" t="s">
        <v>79</v>
      </c>
      <c r="I17" s="20" t="s">
        <v>508</v>
      </c>
      <c r="J17" s="20" t="s">
        <v>20</v>
      </c>
      <c r="K17" s="20" t="s">
        <v>509</v>
      </c>
      <c r="L17" s="23" t="str">
        <f>HYPERLINK("http://slimages.macys.com/is/image/MCY/9550577 ")</f>
        <v xml:space="preserve">http://slimages.macys.com/is/image/MCY/9550577 </v>
      </c>
    </row>
    <row r="18" spans="1:12" ht="24" x14ac:dyDescent="0.25">
      <c r="A18" s="19" t="s">
        <v>510</v>
      </c>
      <c r="B18" s="20" t="s">
        <v>511</v>
      </c>
      <c r="C18" s="21">
        <v>1</v>
      </c>
      <c r="D18" s="22">
        <v>49.99</v>
      </c>
      <c r="E18" s="21" t="s">
        <v>512</v>
      </c>
      <c r="F18" s="20" t="s">
        <v>16</v>
      </c>
      <c r="G18" s="19" t="s">
        <v>17</v>
      </c>
      <c r="H18" s="20" t="s">
        <v>48</v>
      </c>
      <c r="I18" s="20" t="s">
        <v>103</v>
      </c>
      <c r="J18" s="20" t="s">
        <v>20</v>
      </c>
      <c r="K18" s="20" t="s">
        <v>67</v>
      </c>
      <c r="L18" s="23" t="str">
        <f>HYPERLINK("http://slimages.macys.com/is/image/MCY/1153176 ")</f>
        <v xml:space="preserve">http://slimages.macys.com/is/image/MCY/1153176 </v>
      </c>
    </row>
    <row r="19" spans="1:12" ht="24" x14ac:dyDescent="0.25">
      <c r="A19" s="19" t="s">
        <v>513</v>
      </c>
      <c r="B19" s="20" t="s">
        <v>514</v>
      </c>
      <c r="C19" s="21">
        <v>1</v>
      </c>
      <c r="D19" s="22">
        <v>23.11</v>
      </c>
      <c r="E19" s="21">
        <v>676685026859155</v>
      </c>
      <c r="F19" s="20"/>
      <c r="G19" s="19"/>
      <c r="H19" s="20" t="s">
        <v>79</v>
      </c>
      <c r="I19" s="20" t="s">
        <v>515</v>
      </c>
      <c r="J19" s="20" t="s">
        <v>20</v>
      </c>
      <c r="K19" s="20" t="s">
        <v>516</v>
      </c>
      <c r="L19" s="23" t="str">
        <f>HYPERLINK("http://slimages.macys.com/is/image/MCY/14892022 ")</f>
        <v xml:space="preserve">http://slimages.macys.com/is/image/MCY/14892022 </v>
      </c>
    </row>
    <row r="20" spans="1:12" ht="24" x14ac:dyDescent="0.25">
      <c r="A20" s="19" t="s">
        <v>517</v>
      </c>
      <c r="B20" s="20" t="s">
        <v>518</v>
      </c>
      <c r="C20" s="21">
        <v>1</v>
      </c>
      <c r="D20" s="22">
        <v>47.99</v>
      </c>
      <c r="E20" s="21" t="s">
        <v>519</v>
      </c>
      <c r="F20" s="20" t="s">
        <v>89</v>
      </c>
      <c r="G20" s="19" t="s">
        <v>520</v>
      </c>
      <c r="H20" s="20" t="s">
        <v>41</v>
      </c>
      <c r="I20" s="20" t="s">
        <v>103</v>
      </c>
      <c r="J20" s="20" t="s">
        <v>20</v>
      </c>
      <c r="K20" s="20" t="s">
        <v>521</v>
      </c>
      <c r="L20" s="23" t="str">
        <f>HYPERLINK("http://slimages.macys.com/is/image/MCY/2727504 ")</f>
        <v xml:space="preserve">http://slimages.macys.com/is/image/MCY/2727504 </v>
      </c>
    </row>
    <row r="21" spans="1:12" ht="36" x14ac:dyDescent="0.25">
      <c r="A21" s="19" t="s">
        <v>522</v>
      </c>
      <c r="B21" s="20" t="s">
        <v>523</v>
      </c>
      <c r="C21" s="21">
        <v>1</v>
      </c>
      <c r="D21" s="22">
        <v>64.989999999999995</v>
      </c>
      <c r="E21" s="21" t="s">
        <v>524</v>
      </c>
      <c r="F21" s="20" t="s">
        <v>525</v>
      </c>
      <c r="G21" s="19" t="s">
        <v>17</v>
      </c>
      <c r="H21" s="20" t="s">
        <v>328</v>
      </c>
      <c r="I21" s="20" t="s">
        <v>447</v>
      </c>
      <c r="J21" s="20" t="s">
        <v>20</v>
      </c>
      <c r="K21" s="20" t="s">
        <v>396</v>
      </c>
      <c r="L21" s="23" t="str">
        <f>HYPERLINK("http://slimages.macys.com/is/image/MCY/15256851 ")</f>
        <v xml:space="preserve">http://slimages.macys.com/is/image/MCY/15256851 </v>
      </c>
    </row>
    <row r="22" spans="1:12" ht="24" x14ac:dyDescent="0.25">
      <c r="A22" s="19" t="s">
        <v>526</v>
      </c>
      <c r="B22" s="20" t="s">
        <v>527</v>
      </c>
      <c r="C22" s="21">
        <v>1</v>
      </c>
      <c r="D22" s="22">
        <v>64.989999999999995</v>
      </c>
      <c r="E22" s="21" t="s">
        <v>528</v>
      </c>
      <c r="F22" s="20" t="s">
        <v>89</v>
      </c>
      <c r="G22" s="19" t="s">
        <v>17</v>
      </c>
      <c r="H22" s="20" t="s">
        <v>328</v>
      </c>
      <c r="I22" s="20" t="s">
        <v>447</v>
      </c>
      <c r="J22" s="20" t="s">
        <v>20</v>
      </c>
      <c r="K22" s="20" t="s">
        <v>529</v>
      </c>
      <c r="L22" s="23" t="str">
        <f>HYPERLINK("http://slimages.macys.com/is/image/MCY/15256937 ")</f>
        <v xml:space="preserve">http://slimages.macys.com/is/image/MCY/15256937 </v>
      </c>
    </row>
    <row r="23" spans="1:12" ht="36" x14ac:dyDescent="0.25">
      <c r="A23" s="19" t="s">
        <v>530</v>
      </c>
      <c r="B23" s="20" t="s">
        <v>531</v>
      </c>
      <c r="C23" s="21">
        <v>1</v>
      </c>
      <c r="D23" s="22">
        <v>39.99</v>
      </c>
      <c r="E23" s="21" t="s">
        <v>532</v>
      </c>
      <c r="F23" s="20" t="s">
        <v>394</v>
      </c>
      <c r="G23" s="19" t="s">
        <v>17</v>
      </c>
      <c r="H23" s="20" t="s">
        <v>533</v>
      </c>
      <c r="I23" s="20" t="s">
        <v>534</v>
      </c>
      <c r="J23" s="20"/>
      <c r="K23" s="20"/>
      <c r="L23" s="23" t="str">
        <f>HYPERLINK("http://slimages.macys.com/is/image/MCY/1035103 ")</f>
        <v xml:space="preserve">http://slimages.macys.com/is/image/MCY/1035103 </v>
      </c>
    </row>
    <row r="24" spans="1:12" ht="36" x14ac:dyDescent="0.25">
      <c r="A24" s="19" t="s">
        <v>535</v>
      </c>
      <c r="B24" s="20" t="s">
        <v>536</v>
      </c>
      <c r="C24" s="21">
        <v>1</v>
      </c>
      <c r="D24" s="22">
        <v>57.99</v>
      </c>
      <c r="E24" s="21" t="s">
        <v>537</v>
      </c>
      <c r="F24" s="20" t="s">
        <v>89</v>
      </c>
      <c r="G24" s="19" t="s">
        <v>17</v>
      </c>
      <c r="H24" s="20" t="s">
        <v>328</v>
      </c>
      <c r="I24" s="20" t="s">
        <v>447</v>
      </c>
      <c r="J24" s="20" t="s">
        <v>20</v>
      </c>
      <c r="K24" s="20" t="s">
        <v>529</v>
      </c>
      <c r="L24" s="23" t="str">
        <f>HYPERLINK("http://slimages.macys.com/is/image/MCY/15256876 ")</f>
        <v xml:space="preserve">http://slimages.macys.com/is/image/MCY/15256876 </v>
      </c>
    </row>
    <row r="25" spans="1:12" ht="24" x14ac:dyDescent="0.25">
      <c r="A25" s="19" t="s">
        <v>538</v>
      </c>
      <c r="B25" s="20" t="s">
        <v>539</v>
      </c>
      <c r="C25" s="21">
        <v>1</v>
      </c>
      <c r="D25" s="22">
        <v>39.99</v>
      </c>
      <c r="E25" s="21" t="s">
        <v>540</v>
      </c>
      <c r="F25" s="20" t="s">
        <v>16</v>
      </c>
      <c r="G25" s="19" t="s">
        <v>159</v>
      </c>
      <c r="H25" s="20" t="s">
        <v>48</v>
      </c>
      <c r="I25" s="20" t="s">
        <v>42</v>
      </c>
      <c r="J25" s="20" t="s">
        <v>20</v>
      </c>
      <c r="K25" s="20" t="s">
        <v>67</v>
      </c>
      <c r="L25" s="23" t="str">
        <f>HYPERLINK("http://slimages.macys.com/is/image/MCY/330596 ")</f>
        <v xml:space="preserve">http://slimages.macys.com/is/image/MCY/330596 </v>
      </c>
    </row>
    <row r="26" spans="1:12" ht="24" x14ac:dyDescent="0.25">
      <c r="A26" s="19" t="s">
        <v>541</v>
      </c>
      <c r="B26" s="20" t="s">
        <v>542</v>
      </c>
      <c r="C26" s="21">
        <v>2</v>
      </c>
      <c r="D26" s="22">
        <v>79.98</v>
      </c>
      <c r="E26" s="21">
        <v>82868</v>
      </c>
      <c r="F26" s="20" t="s">
        <v>16</v>
      </c>
      <c r="G26" s="19" t="s">
        <v>17</v>
      </c>
      <c r="H26" s="20" t="s">
        <v>41</v>
      </c>
      <c r="I26" s="20" t="s">
        <v>543</v>
      </c>
      <c r="J26" s="20" t="s">
        <v>20</v>
      </c>
      <c r="K26" s="20" t="s">
        <v>21</v>
      </c>
      <c r="L26" s="23" t="str">
        <f>HYPERLINK("http://slimages.macys.com/is/image/MCY/12342509 ")</f>
        <v xml:space="preserve">http://slimages.macys.com/is/image/MCY/12342509 </v>
      </c>
    </row>
    <row r="27" spans="1:12" ht="36" x14ac:dyDescent="0.25">
      <c r="A27" s="19" t="s">
        <v>544</v>
      </c>
      <c r="B27" s="20" t="s">
        <v>545</v>
      </c>
      <c r="C27" s="21">
        <v>2</v>
      </c>
      <c r="D27" s="22">
        <v>69.98</v>
      </c>
      <c r="E27" s="21">
        <v>831326</v>
      </c>
      <c r="F27" s="20" t="s">
        <v>16</v>
      </c>
      <c r="G27" s="19" t="s">
        <v>107</v>
      </c>
      <c r="H27" s="20" t="s">
        <v>108</v>
      </c>
      <c r="I27" s="20" t="s">
        <v>109</v>
      </c>
      <c r="J27" s="20"/>
      <c r="K27" s="20" t="s">
        <v>111</v>
      </c>
      <c r="L27" s="23" t="str">
        <f>HYPERLINK("http://slimages.macys.com/is/image/MCY/2321205 ")</f>
        <v xml:space="preserve">http://slimages.macys.com/is/image/MCY/2321205 </v>
      </c>
    </row>
    <row r="28" spans="1:12" ht="24" x14ac:dyDescent="0.25">
      <c r="A28" s="19" t="s">
        <v>546</v>
      </c>
      <c r="B28" s="20" t="s">
        <v>547</v>
      </c>
      <c r="C28" s="21">
        <v>1</v>
      </c>
      <c r="D28" s="22">
        <v>44.99</v>
      </c>
      <c r="E28" s="21" t="s">
        <v>548</v>
      </c>
      <c r="F28" s="20" t="s">
        <v>16</v>
      </c>
      <c r="G28" s="19" t="s">
        <v>17</v>
      </c>
      <c r="H28" s="20" t="s">
        <v>119</v>
      </c>
      <c r="I28" s="20" t="s">
        <v>120</v>
      </c>
      <c r="J28" s="20" t="s">
        <v>20</v>
      </c>
      <c r="K28" s="20" t="s">
        <v>208</v>
      </c>
      <c r="L28" s="23" t="str">
        <f>HYPERLINK("http://slimages.macys.com/is/image/MCY/8311593 ")</f>
        <v xml:space="preserve">http://slimages.macys.com/is/image/MCY/8311593 </v>
      </c>
    </row>
    <row r="29" spans="1:12" ht="36" x14ac:dyDescent="0.25">
      <c r="A29" s="19" t="s">
        <v>549</v>
      </c>
      <c r="B29" s="20" t="s">
        <v>550</v>
      </c>
      <c r="C29" s="21">
        <v>1</v>
      </c>
      <c r="D29" s="22">
        <v>34.950000000000003</v>
      </c>
      <c r="E29" s="21">
        <v>40002602</v>
      </c>
      <c r="F29" s="20" t="s">
        <v>16</v>
      </c>
      <c r="G29" s="19" t="s">
        <v>159</v>
      </c>
      <c r="H29" s="20" t="s">
        <v>48</v>
      </c>
      <c r="I29" s="20" t="s">
        <v>551</v>
      </c>
      <c r="J29" s="20" t="s">
        <v>20</v>
      </c>
      <c r="K29" s="20" t="s">
        <v>27</v>
      </c>
      <c r="L29" s="23" t="str">
        <f>HYPERLINK("http://slimages.macys.com/is/image/MCY/2517080 ")</f>
        <v xml:space="preserve">http://slimages.macys.com/is/image/MCY/2517080 </v>
      </c>
    </row>
    <row r="30" spans="1:12" ht="24" x14ac:dyDescent="0.25">
      <c r="A30" s="19" t="s">
        <v>552</v>
      </c>
      <c r="B30" s="20" t="s">
        <v>553</v>
      </c>
      <c r="C30" s="21">
        <v>1</v>
      </c>
      <c r="D30" s="22">
        <v>36.99</v>
      </c>
      <c r="E30" s="21" t="s">
        <v>554</v>
      </c>
      <c r="F30" s="20" t="s">
        <v>555</v>
      </c>
      <c r="G30" s="19" t="s">
        <v>17</v>
      </c>
      <c r="H30" s="20" t="s">
        <v>32</v>
      </c>
      <c r="I30" s="20" t="s">
        <v>33</v>
      </c>
      <c r="J30" s="20"/>
      <c r="K30" s="20"/>
      <c r="L30" s="23" t="str">
        <f>HYPERLINK("http://slimages.macys.com/is/image/MCY/18125755 ")</f>
        <v xml:space="preserve">http://slimages.macys.com/is/image/MCY/18125755 </v>
      </c>
    </row>
    <row r="31" spans="1:12" ht="24" x14ac:dyDescent="0.25">
      <c r="A31" s="19" t="s">
        <v>556</v>
      </c>
      <c r="B31" s="20" t="s">
        <v>557</v>
      </c>
      <c r="C31" s="21">
        <v>3</v>
      </c>
      <c r="D31" s="22">
        <v>128.97</v>
      </c>
      <c r="E31" s="21">
        <v>99425</v>
      </c>
      <c r="F31" s="20" t="s">
        <v>16</v>
      </c>
      <c r="G31" s="19" t="s">
        <v>17</v>
      </c>
      <c r="H31" s="20" t="s">
        <v>79</v>
      </c>
      <c r="I31" s="20" t="s">
        <v>558</v>
      </c>
      <c r="J31" s="20" t="s">
        <v>20</v>
      </c>
      <c r="K31" s="20" t="s">
        <v>488</v>
      </c>
      <c r="L31" s="23" t="str">
        <f>HYPERLINK("http://slimages.macys.com/is/image/MCY/10786901 ")</f>
        <v xml:space="preserve">http://slimages.macys.com/is/image/MCY/10786901 </v>
      </c>
    </row>
    <row r="32" spans="1:12" ht="24" x14ac:dyDescent="0.25">
      <c r="A32" s="19" t="s">
        <v>559</v>
      </c>
      <c r="B32" s="20" t="s">
        <v>560</v>
      </c>
      <c r="C32" s="21">
        <v>1</v>
      </c>
      <c r="D32" s="22">
        <v>35.99</v>
      </c>
      <c r="E32" s="21" t="s">
        <v>561</v>
      </c>
      <c r="F32" s="20" t="s">
        <v>106</v>
      </c>
      <c r="G32" s="19" t="s">
        <v>17</v>
      </c>
      <c r="H32" s="20" t="s">
        <v>32</v>
      </c>
      <c r="I32" s="20" t="s">
        <v>33</v>
      </c>
      <c r="J32" s="20" t="s">
        <v>132</v>
      </c>
      <c r="K32" s="20" t="s">
        <v>98</v>
      </c>
      <c r="L32" s="23" t="str">
        <f>HYPERLINK("http://slimages.macys.com/is/image/MCY/13329230 ")</f>
        <v xml:space="preserve">http://slimages.macys.com/is/image/MCY/13329230 </v>
      </c>
    </row>
    <row r="33" spans="1:12" ht="24" x14ac:dyDescent="0.25">
      <c r="A33" s="19" t="s">
        <v>562</v>
      </c>
      <c r="B33" s="20" t="s">
        <v>563</v>
      </c>
      <c r="C33" s="21">
        <v>1</v>
      </c>
      <c r="D33" s="22">
        <v>32.99</v>
      </c>
      <c r="E33" s="21">
        <v>63200</v>
      </c>
      <c r="F33" s="20" t="s">
        <v>16</v>
      </c>
      <c r="G33" s="19" t="s">
        <v>17</v>
      </c>
      <c r="H33" s="20" t="s">
        <v>32</v>
      </c>
      <c r="I33" s="20" t="s">
        <v>543</v>
      </c>
      <c r="J33" s="20" t="s">
        <v>20</v>
      </c>
      <c r="K33" s="20" t="s">
        <v>21</v>
      </c>
      <c r="L33" s="23" t="str">
        <f>HYPERLINK("http://slimages.macys.com/is/image/MCY/12672419 ")</f>
        <v xml:space="preserve">http://slimages.macys.com/is/image/MCY/12672419 </v>
      </c>
    </row>
    <row r="34" spans="1:12" ht="36" x14ac:dyDescent="0.25">
      <c r="A34" s="19" t="s">
        <v>564</v>
      </c>
      <c r="B34" s="20" t="s">
        <v>565</v>
      </c>
      <c r="C34" s="21">
        <v>1</v>
      </c>
      <c r="D34" s="22">
        <v>37.99</v>
      </c>
      <c r="E34" s="21">
        <v>44623</v>
      </c>
      <c r="F34" s="20" t="s">
        <v>566</v>
      </c>
      <c r="G34" s="19" t="s">
        <v>24</v>
      </c>
      <c r="H34" s="20" t="s">
        <v>48</v>
      </c>
      <c r="I34" s="20" t="s">
        <v>543</v>
      </c>
      <c r="J34" s="20" t="s">
        <v>20</v>
      </c>
      <c r="K34" s="20" t="s">
        <v>567</v>
      </c>
      <c r="L34" s="23" t="str">
        <f>HYPERLINK("http://slimages.macys.com/is/image/MCY/12671596 ")</f>
        <v xml:space="preserve">http://slimages.macys.com/is/image/MCY/12671596 </v>
      </c>
    </row>
    <row r="35" spans="1:12" ht="36" x14ac:dyDescent="0.25">
      <c r="A35" s="19" t="s">
        <v>568</v>
      </c>
      <c r="B35" s="20" t="s">
        <v>569</v>
      </c>
      <c r="C35" s="21">
        <v>2</v>
      </c>
      <c r="D35" s="22">
        <v>59.98</v>
      </c>
      <c r="E35" s="21" t="s">
        <v>570</v>
      </c>
      <c r="F35" s="20" t="s">
        <v>16</v>
      </c>
      <c r="G35" s="19" t="s">
        <v>17</v>
      </c>
      <c r="H35" s="20" t="s">
        <v>56</v>
      </c>
      <c r="I35" s="20" t="s">
        <v>571</v>
      </c>
      <c r="J35" s="20" t="s">
        <v>20</v>
      </c>
      <c r="K35" s="20" t="s">
        <v>572</v>
      </c>
      <c r="L35" s="23" t="str">
        <f>HYPERLINK("http://slimages.macys.com/is/image/MCY/13491589 ")</f>
        <v xml:space="preserve">http://slimages.macys.com/is/image/MCY/13491589 </v>
      </c>
    </row>
    <row r="36" spans="1:12" ht="36" x14ac:dyDescent="0.25">
      <c r="A36" s="19" t="s">
        <v>573</v>
      </c>
      <c r="B36" s="20" t="s">
        <v>574</v>
      </c>
      <c r="C36" s="21">
        <v>1</v>
      </c>
      <c r="D36" s="22">
        <v>29.99</v>
      </c>
      <c r="E36" s="21" t="s">
        <v>575</v>
      </c>
      <c r="F36" s="20" t="s">
        <v>576</v>
      </c>
      <c r="G36" s="19"/>
      <c r="H36" s="20" t="s">
        <v>48</v>
      </c>
      <c r="I36" s="20" t="s">
        <v>577</v>
      </c>
      <c r="J36" s="20"/>
      <c r="K36" s="20"/>
      <c r="L36" s="23" t="str">
        <f>HYPERLINK("http://slimages.macys.com/is/image/MCY/18703284 ")</f>
        <v xml:space="preserve">http://slimages.macys.com/is/image/MCY/18703284 </v>
      </c>
    </row>
    <row r="37" spans="1:12" ht="24" x14ac:dyDescent="0.25">
      <c r="A37" s="19" t="s">
        <v>578</v>
      </c>
      <c r="B37" s="20" t="s">
        <v>579</v>
      </c>
      <c r="C37" s="21">
        <v>1</v>
      </c>
      <c r="D37" s="22">
        <v>29.99</v>
      </c>
      <c r="E37" s="21" t="s">
        <v>580</v>
      </c>
      <c r="F37" s="20" t="s">
        <v>16</v>
      </c>
      <c r="G37" s="19" t="s">
        <v>17</v>
      </c>
      <c r="H37" s="20" t="s">
        <v>72</v>
      </c>
      <c r="I37" s="20" t="s">
        <v>581</v>
      </c>
      <c r="J37" s="20" t="s">
        <v>20</v>
      </c>
      <c r="K37" s="20" t="s">
        <v>582</v>
      </c>
      <c r="L37" s="23" t="str">
        <f>HYPERLINK("http://slimages.macys.com/is/image/MCY/2546398 ")</f>
        <v xml:space="preserve">http://slimages.macys.com/is/image/MCY/2546398 </v>
      </c>
    </row>
    <row r="38" spans="1:12" ht="36" x14ac:dyDescent="0.25">
      <c r="A38" s="19" t="s">
        <v>583</v>
      </c>
      <c r="B38" s="20" t="s">
        <v>584</v>
      </c>
      <c r="C38" s="21">
        <v>1</v>
      </c>
      <c r="D38" s="22">
        <v>29.99</v>
      </c>
      <c r="E38" s="21" t="s">
        <v>585</v>
      </c>
      <c r="F38" s="20" t="s">
        <v>349</v>
      </c>
      <c r="G38" s="19" t="s">
        <v>17</v>
      </c>
      <c r="H38" s="20" t="s">
        <v>32</v>
      </c>
      <c r="I38" s="20" t="s">
        <v>33</v>
      </c>
      <c r="J38" s="20" t="s">
        <v>20</v>
      </c>
      <c r="K38" s="20" t="s">
        <v>586</v>
      </c>
      <c r="L38" s="23" t="str">
        <f>HYPERLINK("http://slimages.macys.com/is/image/MCY/10230961 ")</f>
        <v xml:space="preserve">http://slimages.macys.com/is/image/MCY/10230961 </v>
      </c>
    </row>
    <row r="39" spans="1:12" ht="24" x14ac:dyDescent="0.25">
      <c r="A39" s="19" t="s">
        <v>587</v>
      </c>
      <c r="B39" s="20" t="s">
        <v>588</v>
      </c>
      <c r="C39" s="21">
        <v>1</v>
      </c>
      <c r="D39" s="22">
        <v>21.99</v>
      </c>
      <c r="E39" s="21" t="s">
        <v>589</v>
      </c>
      <c r="F39" s="20" t="s">
        <v>394</v>
      </c>
      <c r="G39" s="19" t="s">
        <v>17</v>
      </c>
      <c r="H39" s="20" t="s">
        <v>533</v>
      </c>
      <c r="I39" s="20" t="s">
        <v>534</v>
      </c>
      <c r="J39" s="20" t="s">
        <v>20</v>
      </c>
      <c r="K39" s="20" t="s">
        <v>590</v>
      </c>
      <c r="L39" s="23" t="str">
        <f>HYPERLINK("http://slimages.macys.com/is/image/MCY/8618776 ")</f>
        <v xml:space="preserve">http://slimages.macys.com/is/image/MCY/8618776 </v>
      </c>
    </row>
    <row r="40" spans="1:12" ht="24" x14ac:dyDescent="0.25">
      <c r="A40" s="19" t="s">
        <v>591</v>
      </c>
      <c r="B40" s="20" t="s">
        <v>592</v>
      </c>
      <c r="C40" s="21">
        <v>2</v>
      </c>
      <c r="D40" s="22">
        <v>43.98</v>
      </c>
      <c r="E40" s="21">
        <v>170180</v>
      </c>
      <c r="F40" s="20" t="s">
        <v>54</v>
      </c>
      <c r="G40" s="19" t="s">
        <v>17</v>
      </c>
      <c r="H40" s="20" t="s">
        <v>32</v>
      </c>
      <c r="I40" s="20" t="s">
        <v>593</v>
      </c>
      <c r="J40" s="20" t="s">
        <v>20</v>
      </c>
      <c r="K40" s="20" t="s">
        <v>594</v>
      </c>
      <c r="L40" s="23" t="str">
        <f>HYPERLINK("http://slimages.macys.com/is/image/MCY/14339437 ")</f>
        <v xml:space="preserve">http://slimages.macys.com/is/image/MCY/14339437 </v>
      </c>
    </row>
    <row r="41" spans="1:12" ht="24" x14ac:dyDescent="0.25">
      <c r="A41" s="19" t="s">
        <v>595</v>
      </c>
      <c r="B41" s="20" t="s">
        <v>596</v>
      </c>
      <c r="C41" s="21">
        <v>1</v>
      </c>
      <c r="D41" s="22">
        <v>19.989999999999998</v>
      </c>
      <c r="E41" s="21">
        <v>27001</v>
      </c>
      <c r="F41" s="20" t="s">
        <v>16</v>
      </c>
      <c r="G41" s="19" t="s">
        <v>17</v>
      </c>
      <c r="H41" s="20" t="s">
        <v>48</v>
      </c>
      <c r="I41" s="20" t="s">
        <v>543</v>
      </c>
      <c r="J41" s="20"/>
      <c r="K41" s="20"/>
      <c r="L41" s="23" t="str">
        <f>HYPERLINK("http://slimages.macys.com/is/image/MCY/18507017 ")</f>
        <v xml:space="preserve">http://slimages.macys.com/is/image/MCY/18507017 </v>
      </c>
    </row>
    <row r="42" spans="1:12" ht="36" x14ac:dyDescent="0.25">
      <c r="A42" s="19" t="s">
        <v>597</v>
      </c>
      <c r="B42" s="20" t="s">
        <v>598</v>
      </c>
      <c r="C42" s="21">
        <v>1</v>
      </c>
      <c r="D42" s="22">
        <v>23.99</v>
      </c>
      <c r="E42" s="21" t="s">
        <v>599</v>
      </c>
      <c r="F42" s="20" t="s">
        <v>600</v>
      </c>
      <c r="G42" s="19"/>
      <c r="H42" s="20" t="s">
        <v>48</v>
      </c>
      <c r="I42" s="20" t="s">
        <v>207</v>
      </c>
      <c r="J42" s="20" t="s">
        <v>20</v>
      </c>
      <c r="K42" s="20" t="s">
        <v>208</v>
      </c>
      <c r="L42" s="23" t="str">
        <f>HYPERLINK("http://slimages.macys.com/is/image/MCY/14840498 ")</f>
        <v xml:space="preserve">http://slimages.macys.com/is/image/MCY/14840498 </v>
      </c>
    </row>
    <row r="43" spans="1:12" ht="36" x14ac:dyDescent="0.25">
      <c r="A43" s="19" t="s">
        <v>601</v>
      </c>
      <c r="B43" s="20" t="s">
        <v>602</v>
      </c>
      <c r="C43" s="21">
        <v>2</v>
      </c>
      <c r="D43" s="22">
        <v>49.98</v>
      </c>
      <c r="E43" s="21" t="s">
        <v>603</v>
      </c>
      <c r="F43" s="20" t="s">
        <v>604</v>
      </c>
      <c r="G43" s="19" t="s">
        <v>605</v>
      </c>
      <c r="H43" s="20" t="s">
        <v>328</v>
      </c>
      <c r="I43" s="20" t="s">
        <v>606</v>
      </c>
      <c r="J43" s="20" t="s">
        <v>20</v>
      </c>
      <c r="K43" s="20" t="s">
        <v>396</v>
      </c>
      <c r="L43" s="23" t="str">
        <f>HYPERLINK("http://slimages.macys.com/is/image/MCY/10020898 ")</f>
        <v xml:space="preserve">http://slimages.macys.com/is/image/MCY/10020898 </v>
      </c>
    </row>
    <row r="44" spans="1:12" ht="36" x14ac:dyDescent="0.25">
      <c r="A44" s="19" t="s">
        <v>607</v>
      </c>
      <c r="B44" s="20" t="s">
        <v>608</v>
      </c>
      <c r="C44" s="21">
        <v>1</v>
      </c>
      <c r="D44" s="22">
        <v>17.989999999999998</v>
      </c>
      <c r="E44" s="21" t="s">
        <v>609</v>
      </c>
      <c r="F44" s="20" t="s">
        <v>610</v>
      </c>
      <c r="G44" s="19"/>
      <c r="H44" s="20" t="s">
        <v>48</v>
      </c>
      <c r="I44" s="20" t="s">
        <v>207</v>
      </c>
      <c r="J44" s="20"/>
      <c r="K44" s="20"/>
      <c r="L44" s="23" t="str">
        <f>HYPERLINK("http://slimages.macys.com/is/image/MCY/15905365 ")</f>
        <v xml:space="preserve">http://slimages.macys.com/is/image/MCY/15905365 </v>
      </c>
    </row>
    <row r="45" spans="1:12" ht="36" x14ac:dyDescent="0.25">
      <c r="A45" s="19" t="s">
        <v>611</v>
      </c>
      <c r="B45" s="20" t="s">
        <v>612</v>
      </c>
      <c r="C45" s="21">
        <v>1</v>
      </c>
      <c r="D45" s="22">
        <v>17.989999999999998</v>
      </c>
      <c r="E45" s="21">
        <v>10007261700</v>
      </c>
      <c r="F45" s="20" t="s">
        <v>16</v>
      </c>
      <c r="G45" s="19" t="s">
        <v>17</v>
      </c>
      <c r="H45" s="20" t="s">
        <v>119</v>
      </c>
      <c r="I45" s="20" t="s">
        <v>613</v>
      </c>
      <c r="J45" s="20" t="s">
        <v>110</v>
      </c>
      <c r="K45" s="20" t="s">
        <v>67</v>
      </c>
      <c r="L45" s="23" t="str">
        <f>HYPERLINK("http://slimages.macys.com/is/image/MCY/3856913 ")</f>
        <v xml:space="preserve">http://slimages.macys.com/is/image/MCY/3856913 </v>
      </c>
    </row>
    <row r="46" spans="1:12" ht="24" x14ac:dyDescent="0.25">
      <c r="A46" s="19" t="s">
        <v>614</v>
      </c>
      <c r="B46" s="20" t="s">
        <v>615</v>
      </c>
      <c r="C46" s="21">
        <v>1</v>
      </c>
      <c r="D46" s="22">
        <v>14.99</v>
      </c>
      <c r="E46" s="21" t="s">
        <v>616</v>
      </c>
      <c r="F46" s="20" t="s">
        <v>89</v>
      </c>
      <c r="G46" s="19" t="s">
        <v>17</v>
      </c>
      <c r="H46" s="20" t="s">
        <v>41</v>
      </c>
      <c r="I46" s="20" t="s">
        <v>103</v>
      </c>
      <c r="J46" s="20" t="s">
        <v>20</v>
      </c>
      <c r="K46" s="20" t="s">
        <v>21</v>
      </c>
      <c r="L46" s="23" t="str">
        <f>HYPERLINK("http://slimages.macys.com/is/image/MCY/16404573 ")</f>
        <v xml:space="preserve">http://slimages.macys.com/is/image/MCY/16404573 </v>
      </c>
    </row>
    <row r="47" spans="1:12" ht="24" x14ac:dyDescent="0.25">
      <c r="A47" s="19" t="s">
        <v>617</v>
      </c>
      <c r="B47" s="20" t="s">
        <v>618</v>
      </c>
      <c r="C47" s="21">
        <v>1</v>
      </c>
      <c r="D47" s="22">
        <v>19.989999999999998</v>
      </c>
      <c r="E47" s="21" t="s">
        <v>619</v>
      </c>
      <c r="F47" s="20" t="s">
        <v>78</v>
      </c>
      <c r="G47" s="19"/>
      <c r="H47" s="20" t="s">
        <v>328</v>
      </c>
      <c r="I47" s="20" t="s">
        <v>620</v>
      </c>
      <c r="J47" s="20" t="s">
        <v>20</v>
      </c>
      <c r="K47" s="20" t="s">
        <v>396</v>
      </c>
      <c r="L47" s="23" t="str">
        <f>HYPERLINK("http://slimages.macys.com/is/image/MCY/3282196 ")</f>
        <v xml:space="preserve">http://slimages.macys.com/is/image/MCY/3282196 </v>
      </c>
    </row>
    <row r="48" spans="1:12" ht="36" x14ac:dyDescent="0.25">
      <c r="A48" s="19" t="s">
        <v>621</v>
      </c>
      <c r="B48" s="20" t="s">
        <v>622</v>
      </c>
      <c r="C48" s="21">
        <v>1</v>
      </c>
      <c r="D48" s="22">
        <v>24.99</v>
      </c>
      <c r="E48" s="21" t="s">
        <v>623</v>
      </c>
      <c r="F48" s="20" t="s">
        <v>555</v>
      </c>
      <c r="G48" s="19" t="s">
        <v>624</v>
      </c>
      <c r="H48" s="20" t="s">
        <v>229</v>
      </c>
      <c r="I48" s="20" t="s">
        <v>188</v>
      </c>
      <c r="J48" s="20" t="s">
        <v>20</v>
      </c>
      <c r="K48" s="20" t="s">
        <v>21</v>
      </c>
      <c r="L48" s="23" t="str">
        <f>HYPERLINK("http://slimages.macys.com/is/image/MCY/8095374 ")</f>
        <v xml:space="preserve">http://slimages.macys.com/is/image/MCY/8095374 </v>
      </c>
    </row>
    <row r="49" spans="1:12" ht="24" x14ac:dyDescent="0.25">
      <c r="A49" s="19" t="s">
        <v>625</v>
      </c>
      <c r="B49" s="20" t="s">
        <v>626</v>
      </c>
      <c r="C49" s="21">
        <v>2</v>
      </c>
      <c r="D49" s="22">
        <v>31.98</v>
      </c>
      <c r="E49" s="21" t="s">
        <v>627</v>
      </c>
      <c r="F49" s="20" t="s">
        <v>628</v>
      </c>
      <c r="G49" s="19"/>
      <c r="H49" s="20" t="s">
        <v>328</v>
      </c>
      <c r="I49" s="20" t="s">
        <v>487</v>
      </c>
      <c r="J49" s="20"/>
      <c r="K49" s="20"/>
      <c r="L49" s="23" t="str">
        <f>HYPERLINK("http://slimages.macys.com/is/image/MCY/8296522 ")</f>
        <v xml:space="preserve">http://slimages.macys.com/is/image/MCY/8296522 </v>
      </c>
    </row>
    <row r="50" spans="1:12" ht="36" x14ac:dyDescent="0.25">
      <c r="A50" s="19" t="s">
        <v>629</v>
      </c>
      <c r="B50" s="20" t="s">
        <v>630</v>
      </c>
      <c r="C50" s="21">
        <v>1</v>
      </c>
      <c r="D50" s="22">
        <v>15.99</v>
      </c>
      <c r="E50" s="21">
        <v>45462</v>
      </c>
      <c r="F50" s="20"/>
      <c r="G50" s="19" t="s">
        <v>124</v>
      </c>
      <c r="H50" s="20" t="s">
        <v>48</v>
      </c>
      <c r="I50" s="20" t="s">
        <v>543</v>
      </c>
      <c r="J50" s="20" t="s">
        <v>20</v>
      </c>
      <c r="K50" s="20" t="s">
        <v>27</v>
      </c>
      <c r="L50" s="23" t="str">
        <f>HYPERLINK("http://slimages.macys.com/is/image/MCY/15198814 ")</f>
        <v xml:space="preserve">http://slimages.macys.com/is/image/MCY/15198814 </v>
      </c>
    </row>
    <row r="51" spans="1:12" ht="36" x14ac:dyDescent="0.25">
      <c r="A51" s="19" t="s">
        <v>631</v>
      </c>
      <c r="B51" s="20" t="s">
        <v>632</v>
      </c>
      <c r="C51" s="21">
        <v>2</v>
      </c>
      <c r="D51" s="22">
        <v>24</v>
      </c>
      <c r="E51" s="21" t="s">
        <v>633</v>
      </c>
      <c r="F51" s="20" t="s">
        <v>89</v>
      </c>
      <c r="G51" s="19" t="s">
        <v>634</v>
      </c>
      <c r="H51" s="20" t="s">
        <v>41</v>
      </c>
      <c r="I51" s="20" t="s">
        <v>244</v>
      </c>
      <c r="J51" s="20" t="s">
        <v>132</v>
      </c>
      <c r="K51" s="20" t="s">
        <v>98</v>
      </c>
      <c r="L51" s="23" t="str">
        <f>HYPERLINK("http://slimages.macys.com/is/image/MCY/12291700 ")</f>
        <v xml:space="preserve">http://slimages.macys.com/is/image/MCY/12291700 </v>
      </c>
    </row>
    <row r="52" spans="1:12" ht="24" x14ac:dyDescent="0.25">
      <c r="A52" s="19" t="s">
        <v>635</v>
      </c>
      <c r="B52" s="20" t="s">
        <v>636</v>
      </c>
      <c r="C52" s="21">
        <v>1</v>
      </c>
      <c r="D52" s="22">
        <v>57.99</v>
      </c>
      <c r="E52" s="21" t="s">
        <v>637</v>
      </c>
      <c r="F52" s="20" t="s">
        <v>638</v>
      </c>
      <c r="G52" s="19"/>
      <c r="H52" s="20" t="s">
        <v>79</v>
      </c>
      <c r="I52" s="20" t="s">
        <v>639</v>
      </c>
      <c r="J52" s="20" t="s">
        <v>20</v>
      </c>
      <c r="K52" s="20" t="s">
        <v>640</v>
      </c>
      <c r="L52" s="23" t="str">
        <f>HYPERLINK("http://slimages.macys.com/is/image/MCY/9279983 ")</f>
        <v xml:space="preserve">http://slimages.macys.com/is/image/MCY/9279983 </v>
      </c>
    </row>
    <row r="53" spans="1:12" ht="36" x14ac:dyDescent="0.25">
      <c r="A53" s="19" t="s">
        <v>641</v>
      </c>
      <c r="B53" s="20" t="s">
        <v>642</v>
      </c>
      <c r="C53" s="21">
        <v>1</v>
      </c>
      <c r="D53" s="22">
        <v>12.99</v>
      </c>
      <c r="E53" s="21" t="s">
        <v>643</v>
      </c>
      <c r="F53" s="20" t="s">
        <v>54</v>
      </c>
      <c r="G53" s="19" t="s">
        <v>17</v>
      </c>
      <c r="H53" s="20" t="s">
        <v>32</v>
      </c>
      <c r="I53" s="20" t="s">
        <v>33</v>
      </c>
      <c r="J53" s="20" t="s">
        <v>20</v>
      </c>
      <c r="K53" s="20" t="s">
        <v>644</v>
      </c>
      <c r="L53" s="23" t="str">
        <f>HYPERLINK("http://slimages.macys.com/is/image/MCY/10917502 ")</f>
        <v xml:space="preserve">http://slimages.macys.com/is/image/MCY/10917502 </v>
      </c>
    </row>
    <row r="54" spans="1:12" ht="24" x14ac:dyDescent="0.25">
      <c r="A54" s="19" t="s">
        <v>645</v>
      </c>
      <c r="B54" s="20" t="s">
        <v>646</v>
      </c>
      <c r="C54" s="21">
        <v>1</v>
      </c>
      <c r="D54" s="22">
        <v>18.989999999999998</v>
      </c>
      <c r="E54" s="21">
        <v>22957</v>
      </c>
      <c r="F54" s="20" t="s">
        <v>54</v>
      </c>
      <c r="G54" s="19" t="s">
        <v>17</v>
      </c>
      <c r="H54" s="20" t="s">
        <v>32</v>
      </c>
      <c r="I54" s="20" t="s">
        <v>647</v>
      </c>
      <c r="J54" s="20" t="s">
        <v>20</v>
      </c>
      <c r="K54" s="20"/>
      <c r="L54" s="23" t="str">
        <f>HYPERLINK("http://slimages.macys.com/is/image/MCY/13079387 ")</f>
        <v xml:space="preserve">http://slimages.macys.com/is/image/MCY/13079387 </v>
      </c>
    </row>
    <row r="55" spans="1:12" ht="24" x14ac:dyDescent="0.25">
      <c r="A55" s="19" t="s">
        <v>648</v>
      </c>
      <c r="B55" s="20" t="s">
        <v>649</v>
      </c>
      <c r="C55" s="21">
        <v>4</v>
      </c>
      <c r="D55" s="22">
        <v>55.96</v>
      </c>
      <c r="E55" s="21" t="s">
        <v>650</v>
      </c>
      <c r="F55" s="20" t="s">
        <v>638</v>
      </c>
      <c r="G55" s="19"/>
      <c r="H55" s="20" t="s">
        <v>328</v>
      </c>
      <c r="I55" s="20" t="s">
        <v>487</v>
      </c>
      <c r="J55" s="20" t="s">
        <v>110</v>
      </c>
      <c r="K55" s="20" t="s">
        <v>651</v>
      </c>
      <c r="L55" s="23" t="str">
        <f>HYPERLINK("http://slimages.macys.com/is/image/MCY/8374133 ")</f>
        <v xml:space="preserve">http://slimages.macys.com/is/image/MCY/8374133 </v>
      </c>
    </row>
    <row r="56" spans="1:12" ht="36" x14ac:dyDescent="0.25">
      <c r="A56" s="19" t="s">
        <v>652</v>
      </c>
      <c r="B56" s="20" t="s">
        <v>653</v>
      </c>
      <c r="C56" s="21">
        <v>1</v>
      </c>
      <c r="D56" s="22">
        <v>12.99</v>
      </c>
      <c r="E56" s="21">
        <v>10006771500</v>
      </c>
      <c r="F56" s="20" t="s">
        <v>16</v>
      </c>
      <c r="G56" s="19" t="s">
        <v>17</v>
      </c>
      <c r="H56" s="20" t="s">
        <v>18</v>
      </c>
      <c r="I56" s="20" t="s">
        <v>19</v>
      </c>
      <c r="J56" s="20" t="s">
        <v>20</v>
      </c>
      <c r="K56" s="20" t="s">
        <v>98</v>
      </c>
      <c r="L56" s="23" t="str">
        <f>HYPERLINK("http://slimages.macys.com/is/image/MCY/12954404 ")</f>
        <v xml:space="preserve">http://slimages.macys.com/is/image/MCY/12954404 </v>
      </c>
    </row>
    <row r="57" spans="1:12" ht="24" x14ac:dyDescent="0.25">
      <c r="A57" s="19" t="s">
        <v>654</v>
      </c>
      <c r="B57" s="20" t="s">
        <v>655</v>
      </c>
      <c r="C57" s="21">
        <v>1</v>
      </c>
      <c r="D57" s="22">
        <v>9.99</v>
      </c>
      <c r="E57" s="21">
        <v>400047</v>
      </c>
      <c r="F57" s="20" t="s">
        <v>54</v>
      </c>
      <c r="G57" s="19"/>
      <c r="H57" s="20" t="s">
        <v>56</v>
      </c>
      <c r="I57" s="20" t="s">
        <v>656</v>
      </c>
      <c r="J57" s="20" t="s">
        <v>20</v>
      </c>
      <c r="K57" s="20" t="s">
        <v>657</v>
      </c>
      <c r="L57" s="23" t="str">
        <f>HYPERLINK("http://slimages.macys.com/is/image/MCY/16404877 ")</f>
        <v xml:space="preserve">http://slimages.macys.com/is/image/MCY/16404877 </v>
      </c>
    </row>
    <row r="58" spans="1:12" ht="24" x14ac:dyDescent="0.25">
      <c r="A58" s="19" t="s">
        <v>658</v>
      </c>
      <c r="B58" s="20" t="s">
        <v>659</v>
      </c>
      <c r="C58" s="21">
        <v>3</v>
      </c>
      <c r="D58" s="22">
        <v>26.97</v>
      </c>
      <c r="E58" s="21">
        <v>49537</v>
      </c>
      <c r="F58" s="20" t="s">
        <v>16</v>
      </c>
      <c r="G58" s="19" t="s">
        <v>17</v>
      </c>
      <c r="H58" s="20" t="s">
        <v>79</v>
      </c>
      <c r="I58" s="20" t="s">
        <v>281</v>
      </c>
      <c r="J58" s="20" t="s">
        <v>20</v>
      </c>
      <c r="K58" s="20" t="s">
        <v>640</v>
      </c>
      <c r="L58" s="23" t="str">
        <f>HYPERLINK("http://slimages.macys.com/is/image/MCY/12751508 ")</f>
        <v xml:space="preserve">http://slimages.macys.com/is/image/MCY/12751508 </v>
      </c>
    </row>
    <row r="59" spans="1:12" ht="24" x14ac:dyDescent="0.25">
      <c r="A59" s="19" t="s">
        <v>660</v>
      </c>
      <c r="B59" s="20" t="s">
        <v>661</v>
      </c>
      <c r="C59" s="21">
        <v>1</v>
      </c>
      <c r="D59" s="22">
        <v>9.99</v>
      </c>
      <c r="E59" s="21">
        <v>64614</v>
      </c>
      <c r="F59" s="20"/>
      <c r="G59" s="19" t="s">
        <v>17</v>
      </c>
      <c r="H59" s="20" t="s">
        <v>32</v>
      </c>
      <c r="I59" s="20" t="s">
        <v>543</v>
      </c>
      <c r="J59" s="20" t="s">
        <v>20</v>
      </c>
      <c r="K59" s="20" t="s">
        <v>662</v>
      </c>
      <c r="L59" s="23" t="str">
        <f>HYPERLINK("http://slimages.macys.com/is/image/MCY/3983618 ")</f>
        <v xml:space="preserve">http://slimages.macys.com/is/image/MCY/3983618 </v>
      </c>
    </row>
    <row r="60" spans="1:12" ht="24" x14ac:dyDescent="0.25">
      <c r="A60" s="19" t="s">
        <v>663</v>
      </c>
      <c r="B60" s="20" t="s">
        <v>664</v>
      </c>
      <c r="C60" s="21">
        <v>2</v>
      </c>
      <c r="D60" s="22">
        <v>18.98</v>
      </c>
      <c r="E60" s="21" t="s">
        <v>665</v>
      </c>
      <c r="F60" s="20" t="s">
        <v>89</v>
      </c>
      <c r="G60" s="19"/>
      <c r="H60" s="20" t="s">
        <v>328</v>
      </c>
      <c r="I60" s="20" t="s">
        <v>487</v>
      </c>
      <c r="J60" s="20" t="s">
        <v>20</v>
      </c>
      <c r="K60" s="20" t="s">
        <v>666</v>
      </c>
      <c r="L60" s="23" t="str">
        <f>HYPERLINK("http://slimages.macys.com/is/image/MCY/8164242 ")</f>
        <v xml:space="preserve">http://slimages.macys.com/is/image/MCY/8164242 </v>
      </c>
    </row>
    <row r="61" spans="1:12" ht="24" x14ac:dyDescent="0.25">
      <c r="A61" s="19" t="s">
        <v>667</v>
      </c>
      <c r="B61" s="20" t="s">
        <v>668</v>
      </c>
      <c r="C61" s="21">
        <v>1</v>
      </c>
      <c r="D61" s="22">
        <v>6.99</v>
      </c>
      <c r="E61" s="21" t="s">
        <v>669</v>
      </c>
      <c r="F61" s="20" t="s">
        <v>16</v>
      </c>
      <c r="G61" s="19"/>
      <c r="H61" s="20" t="s">
        <v>48</v>
      </c>
      <c r="I61" s="20" t="s">
        <v>172</v>
      </c>
      <c r="J61" s="20" t="s">
        <v>670</v>
      </c>
      <c r="K61" s="20" t="s">
        <v>67</v>
      </c>
      <c r="L61" s="23" t="str">
        <f>HYPERLINK("http://slimages.macys.com/is/image/MCY/2292800 ")</f>
        <v xml:space="preserve">http://slimages.macys.com/is/image/MCY/2292800 </v>
      </c>
    </row>
    <row r="62" spans="1:12" ht="36" x14ac:dyDescent="0.25">
      <c r="A62" s="19" t="s">
        <v>671</v>
      </c>
      <c r="B62" s="20" t="s">
        <v>672</v>
      </c>
      <c r="C62" s="21">
        <v>1</v>
      </c>
      <c r="D62" s="22">
        <v>8.99</v>
      </c>
      <c r="E62" s="21" t="s">
        <v>673</v>
      </c>
      <c r="F62" s="20" t="s">
        <v>674</v>
      </c>
      <c r="G62" s="19" t="s">
        <v>381</v>
      </c>
      <c r="H62" s="20" t="s">
        <v>229</v>
      </c>
      <c r="I62" s="20" t="s">
        <v>188</v>
      </c>
      <c r="J62" s="20" t="s">
        <v>20</v>
      </c>
      <c r="K62" s="20" t="s">
        <v>21</v>
      </c>
      <c r="L62" s="23" t="str">
        <f>HYPERLINK("http://slimages.macys.com/is/image/MCY/8101976 ")</f>
        <v xml:space="preserve">http://slimages.macys.com/is/image/MCY/8101976 </v>
      </c>
    </row>
    <row r="63" spans="1:12" ht="36" x14ac:dyDescent="0.25">
      <c r="A63" s="19" t="s">
        <v>675</v>
      </c>
      <c r="B63" s="20" t="s">
        <v>676</v>
      </c>
      <c r="C63" s="21">
        <v>1</v>
      </c>
      <c r="D63" s="22">
        <v>5.99</v>
      </c>
      <c r="E63" s="21">
        <v>7186</v>
      </c>
      <c r="F63" s="20" t="s">
        <v>89</v>
      </c>
      <c r="G63" s="19"/>
      <c r="H63" s="20" t="s">
        <v>328</v>
      </c>
      <c r="I63" s="20" t="s">
        <v>620</v>
      </c>
      <c r="J63" s="20" t="s">
        <v>20</v>
      </c>
      <c r="K63" s="20" t="s">
        <v>362</v>
      </c>
      <c r="L63" s="23" t="str">
        <f>HYPERLINK("http://slimages.macys.com/is/image/MCY/3717727 ")</f>
        <v xml:space="preserve">http://slimages.macys.com/is/image/MCY/3717727 </v>
      </c>
    </row>
    <row r="64" spans="1:12" ht="24" x14ac:dyDescent="0.25">
      <c r="A64" s="19" t="s">
        <v>677</v>
      </c>
      <c r="B64" s="20" t="s">
        <v>678</v>
      </c>
      <c r="C64" s="21">
        <v>1</v>
      </c>
      <c r="D64" s="22">
        <v>4.99</v>
      </c>
      <c r="E64" s="21">
        <v>7101</v>
      </c>
      <c r="F64" s="20" t="s">
        <v>555</v>
      </c>
      <c r="G64" s="19" t="s">
        <v>679</v>
      </c>
      <c r="H64" s="20" t="s">
        <v>328</v>
      </c>
      <c r="I64" s="20" t="s">
        <v>620</v>
      </c>
      <c r="J64" s="20" t="s">
        <v>20</v>
      </c>
      <c r="K64" s="20" t="s">
        <v>362</v>
      </c>
      <c r="L64" s="23" t="str">
        <f>HYPERLINK("http://slimages.macys.com/is/image/MCY/3517412 ")</f>
        <v xml:space="preserve">http://slimages.macys.com/is/image/MCY/3517412 </v>
      </c>
    </row>
    <row r="65" spans="1:12" ht="36" x14ac:dyDescent="0.25">
      <c r="A65" s="19" t="s">
        <v>680</v>
      </c>
      <c r="B65" s="20" t="s">
        <v>681</v>
      </c>
      <c r="C65" s="21">
        <v>5</v>
      </c>
      <c r="D65" s="22">
        <v>29.95</v>
      </c>
      <c r="E65" s="21">
        <v>7186</v>
      </c>
      <c r="F65" s="20" t="s">
        <v>206</v>
      </c>
      <c r="G65" s="19" t="s">
        <v>679</v>
      </c>
      <c r="H65" s="20" t="s">
        <v>328</v>
      </c>
      <c r="I65" s="20" t="s">
        <v>620</v>
      </c>
      <c r="J65" s="20" t="s">
        <v>20</v>
      </c>
      <c r="K65" s="20" t="s">
        <v>362</v>
      </c>
      <c r="L65" s="23" t="str">
        <f>HYPERLINK("http://slimages.macys.com/is/image/MCY/3717727 ")</f>
        <v xml:space="preserve">http://slimages.macys.com/is/image/MCY/3717727 </v>
      </c>
    </row>
    <row r="66" spans="1:12" ht="24" x14ac:dyDescent="0.25">
      <c r="A66" s="19" t="s">
        <v>682</v>
      </c>
      <c r="B66" s="20" t="s">
        <v>683</v>
      </c>
      <c r="C66" s="21">
        <v>1</v>
      </c>
      <c r="D66" s="22">
        <v>5.99</v>
      </c>
      <c r="E66" s="21" t="s">
        <v>684</v>
      </c>
      <c r="F66" s="20" t="s">
        <v>685</v>
      </c>
      <c r="G66" s="19" t="s">
        <v>679</v>
      </c>
      <c r="H66" s="20" t="s">
        <v>328</v>
      </c>
      <c r="I66" s="20" t="s">
        <v>620</v>
      </c>
      <c r="J66" s="20" t="s">
        <v>20</v>
      </c>
      <c r="K66" s="20" t="s">
        <v>396</v>
      </c>
      <c r="L66" s="23" t="str">
        <f>HYPERLINK("http://slimages.macys.com/is/image/MCY/3282199 ")</f>
        <v xml:space="preserve">http://slimages.macys.com/is/image/MCY/3282199 </v>
      </c>
    </row>
    <row r="67" spans="1:12" ht="24" x14ac:dyDescent="0.25">
      <c r="A67" s="19" t="s">
        <v>686</v>
      </c>
      <c r="B67" s="20" t="s">
        <v>687</v>
      </c>
      <c r="C67" s="21">
        <v>1</v>
      </c>
      <c r="D67" s="22">
        <v>5.99</v>
      </c>
      <c r="E67" s="21">
        <v>5227216</v>
      </c>
      <c r="F67" s="20" t="s">
        <v>89</v>
      </c>
      <c r="G67" s="19" t="s">
        <v>269</v>
      </c>
      <c r="H67" s="20" t="s">
        <v>108</v>
      </c>
      <c r="I67" s="20" t="s">
        <v>384</v>
      </c>
      <c r="J67" s="20" t="s">
        <v>20</v>
      </c>
      <c r="K67" s="20" t="s">
        <v>21</v>
      </c>
      <c r="L67" s="23" t="str">
        <f>HYPERLINK("http://slimages.macys.com/is/image/MCY/9278843 ")</f>
        <v xml:space="preserve">http://slimages.macys.com/is/image/MCY/9278843 </v>
      </c>
    </row>
    <row r="68" spans="1:12" ht="24" x14ac:dyDescent="0.25">
      <c r="A68" s="19" t="s">
        <v>389</v>
      </c>
      <c r="B68" s="20" t="s">
        <v>390</v>
      </c>
      <c r="C68" s="21">
        <v>2</v>
      </c>
      <c r="D68" s="22">
        <v>11.98</v>
      </c>
      <c r="E68" s="21">
        <v>5235360</v>
      </c>
      <c r="F68" s="20" t="s">
        <v>89</v>
      </c>
      <c r="G68" s="19" t="s">
        <v>269</v>
      </c>
      <c r="H68" s="20" t="s">
        <v>108</v>
      </c>
      <c r="I68" s="20" t="s">
        <v>384</v>
      </c>
      <c r="J68" s="20" t="s">
        <v>20</v>
      </c>
      <c r="K68" s="20" t="s">
        <v>21</v>
      </c>
      <c r="L68" s="23" t="str">
        <f>HYPERLINK("http://slimages.macys.com/is/image/MCY/9960355 ")</f>
        <v xml:space="preserve">http://slimages.macys.com/is/image/MCY/9960355 </v>
      </c>
    </row>
    <row r="69" spans="1:12" ht="36" x14ac:dyDescent="0.25">
      <c r="A69" s="19" t="s">
        <v>688</v>
      </c>
      <c r="B69" s="20" t="s">
        <v>689</v>
      </c>
      <c r="C69" s="21">
        <v>1</v>
      </c>
      <c r="D69" s="22">
        <v>3.49</v>
      </c>
      <c r="E69" s="21" t="s">
        <v>690</v>
      </c>
      <c r="F69" s="20" t="s">
        <v>691</v>
      </c>
      <c r="G69" s="19" t="s">
        <v>17</v>
      </c>
      <c r="H69" s="20" t="s">
        <v>32</v>
      </c>
      <c r="I69" s="20" t="s">
        <v>33</v>
      </c>
      <c r="J69" s="20" t="s">
        <v>20</v>
      </c>
      <c r="K69" s="20" t="s">
        <v>692</v>
      </c>
      <c r="L69" s="23" t="str">
        <f>HYPERLINK("http://slimages.macys.com/is/image/MCY/14601071 ")</f>
        <v xml:space="preserve">http://slimages.macys.com/is/image/MCY/14601071 </v>
      </c>
    </row>
    <row r="70" spans="1:12" ht="24" x14ac:dyDescent="0.25">
      <c r="A70" s="19" t="s">
        <v>693</v>
      </c>
      <c r="B70" s="20" t="s">
        <v>694</v>
      </c>
      <c r="C70" s="21">
        <v>3</v>
      </c>
      <c r="D70" s="22">
        <v>93</v>
      </c>
      <c r="E70" s="21"/>
      <c r="F70" s="20" t="s">
        <v>16</v>
      </c>
      <c r="G70" s="19" t="s">
        <v>17</v>
      </c>
      <c r="H70" s="20" t="s">
        <v>695</v>
      </c>
      <c r="I70" s="20" t="s">
        <v>696</v>
      </c>
      <c r="J70" s="20"/>
      <c r="K70" s="20"/>
      <c r="L70" s="23"/>
    </row>
    <row r="71" spans="1:12" x14ac:dyDescent="0.25">
      <c r="C71" s="26">
        <f>SUM(C2:C70)</f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1"/>
  <sheetViews>
    <sheetView topLeftCell="A82" workbookViewId="0">
      <selection activeCell="E93" sqref="E93"/>
    </sheetView>
  </sheetViews>
  <sheetFormatPr defaultRowHeight="39.950000000000003" customHeight="1" x14ac:dyDescent="0.25"/>
  <cols>
    <col min="1" max="1" width="14.28515625" customWidth="1"/>
    <col min="2" max="2" width="22.28515625" customWidth="1"/>
    <col min="3" max="3" width="15" customWidth="1"/>
    <col min="4" max="4" width="10.28515625" customWidth="1"/>
    <col min="5" max="5" width="17.140625" customWidth="1"/>
    <col min="6" max="6" width="11.42578125" customWidth="1"/>
    <col min="7" max="7" width="10.85546875" customWidth="1"/>
    <col min="8" max="8" width="12.140625" customWidth="1"/>
    <col min="9" max="9" width="36.5703125" bestFit="1" customWidth="1"/>
    <col min="10" max="11" width="20.7109375" customWidth="1"/>
    <col min="12" max="12" width="29.28515625" customWidth="1"/>
  </cols>
  <sheetData>
    <row r="1" spans="1:12" ht="39.950000000000003" customHeight="1" x14ac:dyDescent="0.25">
      <c r="A1" s="18" t="s">
        <v>2</v>
      </c>
      <c r="B1" s="18" t="s">
        <v>3</v>
      </c>
      <c r="C1" s="18" t="s">
        <v>4</v>
      </c>
      <c r="D1" s="18" t="s">
        <v>5</v>
      </c>
      <c r="E1" s="18" t="s">
        <v>6</v>
      </c>
      <c r="F1" s="18" t="s">
        <v>7</v>
      </c>
      <c r="G1" s="18" t="s">
        <v>8</v>
      </c>
      <c r="H1" s="18" t="s">
        <v>9</v>
      </c>
      <c r="I1" s="18" t="s">
        <v>10</v>
      </c>
      <c r="J1" s="18" t="s">
        <v>11</v>
      </c>
      <c r="K1" s="18" t="s">
        <v>12</v>
      </c>
      <c r="L1" s="18" t="s">
        <v>13</v>
      </c>
    </row>
    <row r="2" spans="1:12" ht="39.950000000000003" customHeight="1" x14ac:dyDescent="0.25">
      <c r="A2" s="19" t="s">
        <v>1187</v>
      </c>
      <c r="B2" s="20" t="s">
        <v>1188</v>
      </c>
      <c r="C2" s="21">
        <v>1</v>
      </c>
      <c r="D2" s="22">
        <v>199.95</v>
      </c>
      <c r="E2" s="21">
        <v>112209</v>
      </c>
      <c r="F2" s="20" t="s">
        <v>349</v>
      </c>
      <c r="G2" s="19" t="s">
        <v>17</v>
      </c>
      <c r="H2" s="20" t="s">
        <v>48</v>
      </c>
      <c r="I2" s="20" t="s">
        <v>1189</v>
      </c>
      <c r="J2" s="20"/>
      <c r="K2" s="20"/>
      <c r="L2" s="23" t="str">
        <f>HYPERLINK("http://slimages.macys.com/is/image/MCY/17073772 ")</f>
        <v xml:space="preserve">http://slimages.macys.com/is/image/MCY/17073772 </v>
      </c>
    </row>
    <row r="3" spans="1:12" ht="39.950000000000003" customHeight="1" x14ac:dyDescent="0.25">
      <c r="A3" s="19" t="s">
        <v>1190</v>
      </c>
      <c r="B3" s="20" t="s">
        <v>1191</v>
      </c>
      <c r="C3" s="21">
        <v>1</v>
      </c>
      <c r="D3" s="22">
        <v>173.99</v>
      </c>
      <c r="E3" s="21" t="s">
        <v>1192</v>
      </c>
      <c r="F3" s="20" t="s">
        <v>54</v>
      </c>
      <c r="G3" s="19"/>
      <c r="H3" s="20" t="s">
        <v>79</v>
      </c>
      <c r="I3" s="20" t="s">
        <v>80</v>
      </c>
      <c r="J3" s="20" t="s">
        <v>20</v>
      </c>
      <c r="K3" s="20" t="s">
        <v>459</v>
      </c>
      <c r="L3" s="23" t="str">
        <f>HYPERLINK("http://slimages.macys.com/is/image/MCY/12785913 ")</f>
        <v xml:space="preserve">http://slimages.macys.com/is/image/MCY/12785913 </v>
      </c>
    </row>
    <row r="4" spans="1:12" ht="39.950000000000003" customHeight="1" x14ac:dyDescent="0.25">
      <c r="A4" s="19" t="s">
        <v>1193</v>
      </c>
      <c r="B4" s="20" t="s">
        <v>1194</v>
      </c>
      <c r="C4" s="21">
        <v>2</v>
      </c>
      <c r="D4" s="22">
        <v>319.98</v>
      </c>
      <c r="E4" s="21" t="s">
        <v>1195</v>
      </c>
      <c r="F4" s="20" t="s">
        <v>16</v>
      </c>
      <c r="G4" s="19" t="s">
        <v>1196</v>
      </c>
      <c r="H4" s="20" t="s">
        <v>56</v>
      </c>
      <c r="I4" s="20" t="s">
        <v>432</v>
      </c>
      <c r="J4" s="20"/>
      <c r="K4" s="20" t="s">
        <v>58</v>
      </c>
      <c r="L4" s="23" t="str">
        <f>HYPERLINK("http://slimages.macys.com/is/image/MCY/495242 ")</f>
        <v xml:space="preserve">http://slimages.macys.com/is/image/MCY/495242 </v>
      </c>
    </row>
    <row r="5" spans="1:12" ht="39.950000000000003" customHeight="1" x14ac:dyDescent="0.25">
      <c r="A5" s="19" t="s">
        <v>1197</v>
      </c>
      <c r="B5" s="20" t="s">
        <v>1198</v>
      </c>
      <c r="C5" s="21">
        <v>1</v>
      </c>
      <c r="D5" s="22">
        <v>149.99</v>
      </c>
      <c r="E5" s="21">
        <v>1135029</v>
      </c>
      <c r="F5" s="20" t="s">
        <v>16</v>
      </c>
      <c r="G5" s="19" t="s">
        <v>17</v>
      </c>
      <c r="H5" s="20" t="s">
        <v>1199</v>
      </c>
      <c r="I5" s="20" t="s">
        <v>1200</v>
      </c>
      <c r="J5" s="20" t="s">
        <v>20</v>
      </c>
      <c r="K5" s="20" t="s">
        <v>1201</v>
      </c>
      <c r="L5" s="23" t="str">
        <f>HYPERLINK("http://slimages.macys.com/is/image/MCY/14320400 ")</f>
        <v xml:space="preserve">http://slimages.macys.com/is/image/MCY/14320400 </v>
      </c>
    </row>
    <row r="6" spans="1:12" ht="39.950000000000003" customHeight="1" x14ac:dyDescent="0.25">
      <c r="A6" s="19" t="s">
        <v>1202</v>
      </c>
      <c r="B6" s="20" t="s">
        <v>1203</v>
      </c>
      <c r="C6" s="21">
        <v>1</v>
      </c>
      <c r="D6" s="22">
        <v>164.99</v>
      </c>
      <c r="E6" s="21">
        <v>89060</v>
      </c>
      <c r="F6" s="20" t="s">
        <v>16</v>
      </c>
      <c r="G6" s="19" t="s">
        <v>17</v>
      </c>
      <c r="H6" s="20" t="s">
        <v>41</v>
      </c>
      <c r="I6" s="20" t="s">
        <v>1204</v>
      </c>
      <c r="J6" s="20" t="s">
        <v>20</v>
      </c>
      <c r="K6" s="20" t="s">
        <v>92</v>
      </c>
      <c r="L6" s="23" t="str">
        <f>HYPERLINK("http://slimages.macys.com/is/image/MCY/15271337 ")</f>
        <v xml:space="preserve">http://slimages.macys.com/is/image/MCY/15271337 </v>
      </c>
    </row>
    <row r="7" spans="1:12" ht="39.950000000000003" customHeight="1" x14ac:dyDescent="0.25">
      <c r="A7" s="19" t="s">
        <v>1205</v>
      </c>
      <c r="B7" s="20" t="s">
        <v>1206</v>
      </c>
      <c r="C7" s="21">
        <v>1</v>
      </c>
      <c r="D7" s="22">
        <v>159.99</v>
      </c>
      <c r="E7" s="21" t="s">
        <v>1207</v>
      </c>
      <c r="F7" s="20" t="s">
        <v>349</v>
      </c>
      <c r="G7" s="19"/>
      <c r="H7" s="20" t="s">
        <v>41</v>
      </c>
      <c r="I7" s="20" t="s">
        <v>1208</v>
      </c>
      <c r="J7" s="20" t="s">
        <v>20</v>
      </c>
      <c r="K7" s="20" t="s">
        <v>21</v>
      </c>
      <c r="L7" s="23" t="str">
        <f>HYPERLINK("http://slimages.macys.com/is/image/MCY/11409192 ")</f>
        <v xml:space="preserve">http://slimages.macys.com/is/image/MCY/11409192 </v>
      </c>
    </row>
    <row r="8" spans="1:12" ht="39.950000000000003" customHeight="1" x14ac:dyDescent="0.25">
      <c r="A8" s="19" t="s">
        <v>1209</v>
      </c>
      <c r="B8" s="20" t="s">
        <v>1210</v>
      </c>
      <c r="C8" s="21">
        <v>1</v>
      </c>
      <c r="D8" s="22">
        <v>159.97999999999999</v>
      </c>
      <c r="E8" s="21" t="s">
        <v>1211</v>
      </c>
      <c r="F8" s="20" t="s">
        <v>1036</v>
      </c>
      <c r="G8" s="19"/>
      <c r="H8" s="20" t="s">
        <v>41</v>
      </c>
      <c r="I8" s="20" t="s">
        <v>1208</v>
      </c>
      <c r="J8" s="20" t="s">
        <v>20</v>
      </c>
      <c r="K8" s="20" t="s">
        <v>21</v>
      </c>
      <c r="L8" s="23" t="str">
        <f>HYPERLINK("http://slimages.macys.com/is/image/MCY/11409192 ")</f>
        <v xml:space="preserve">http://slimages.macys.com/is/image/MCY/11409192 </v>
      </c>
    </row>
    <row r="9" spans="1:12" ht="39.950000000000003" customHeight="1" x14ac:dyDescent="0.25">
      <c r="A9" s="19" t="s">
        <v>1212</v>
      </c>
      <c r="B9" s="20" t="s">
        <v>1213</v>
      </c>
      <c r="C9" s="21">
        <v>1</v>
      </c>
      <c r="D9" s="22">
        <v>194.99</v>
      </c>
      <c r="E9" s="21" t="s">
        <v>1214</v>
      </c>
      <c r="F9" s="20" t="s">
        <v>436</v>
      </c>
      <c r="G9" s="19" t="s">
        <v>17</v>
      </c>
      <c r="H9" s="20" t="s">
        <v>32</v>
      </c>
      <c r="I9" s="20" t="s">
        <v>1215</v>
      </c>
      <c r="J9" s="20" t="s">
        <v>20</v>
      </c>
      <c r="K9" s="20" t="s">
        <v>1216</v>
      </c>
      <c r="L9" s="23" t="str">
        <f>HYPERLINK("http://slimages.macys.com/is/image/MCY/15762318 ")</f>
        <v xml:space="preserve">http://slimages.macys.com/is/image/MCY/15762318 </v>
      </c>
    </row>
    <row r="10" spans="1:12" ht="39.950000000000003" customHeight="1" x14ac:dyDescent="0.25">
      <c r="A10" s="19" t="s">
        <v>1217</v>
      </c>
      <c r="B10" s="20" t="s">
        <v>1218</v>
      </c>
      <c r="C10" s="21">
        <v>1</v>
      </c>
      <c r="D10" s="22">
        <v>150</v>
      </c>
      <c r="E10" s="21">
        <v>110720</v>
      </c>
      <c r="F10" s="20" t="s">
        <v>54</v>
      </c>
      <c r="G10" s="19" t="s">
        <v>258</v>
      </c>
      <c r="H10" s="20" t="s">
        <v>65</v>
      </c>
      <c r="I10" s="20" t="s">
        <v>454</v>
      </c>
      <c r="J10" s="20"/>
      <c r="K10" s="20" t="s">
        <v>455</v>
      </c>
      <c r="L10" s="23" t="str">
        <f>HYPERLINK("http://slimages.macys.com/is/image/MCY/741266 ")</f>
        <v xml:space="preserve">http://slimages.macys.com/is/image/MCY/741266 </v>
      </c>
    </row>
    <row r="11" spans="1:12" ht="39.950000000000003" customHeight="1" x14ac:dyDescent="0.25">
      <c r="A11" s="19" t="s">
        <v>1219</v>
      </c>
      <c r="B11" s="20" t="s">
        <v>1220</v>
      </c>
      <c r="C11" s="21">
        <v>1</v>
      </c>
      <c r="D11" s="22">
        <v>135</v>
      </c>
      <c r="E11" s="21" t="s">
        <v>1221</v>
      </c>
      <c r="F11" s="20" t="s">
        <v>1222</v>
      </c>
      <c r="G11" s="19" t="s">
        <v>624</v>
      </c>
      <c r="H11" s="20" t="s">
        <v>1223</v>
      </c>
      <c r="I11" s="20" t="s">
        <v>1224</v>
      </c>
      <c r="J11" s="20" t="s">
        <v>702</v>
      </c>
      <c r="K11" s="20" t="s">
        <v>1225</v>
      </c>
      <c r="L11" s="23" t="str">
        <f>HYPERLINK("http://images.bloomingdales.com/is/image/BLM/9895706 ")</f>
        <v xml:space="preserve">http://images.bloomingdales.com/is/image/BLM/9895706 </v>
      </c>
    </row>
    <row r="12" spans="1:12" ht="39.950000000000003" customHeight="1" x14ac:dyDescent="0.25">
      <c r="A12" s="19" t="s">
        <v>1226</v>
      </c>
      <c r="B12" s="20" t="s">
        <v>1227</v>
      </c>
      <c r="C12" s="21">
        <v>1</v>
      </c>
      <c r="D12" s="22">
        <v>109.99</v>
      </c>
      <c r="E12" s="21" t="s">
        <v>1228</v>
      </c>
      <c r="F12" s="20" t="s">
        <v>54</v>
      </c>
      <c r="G12" s="19" t="s">
        <v>1229</v>
      </c>
      <c r="H12" s="20" t="s">
        <v>56</v>
      </c>
      <c r="I12" s="20" t="s">
        <v>432</v>
      </c>
      <c r="J12" s="20" t="s">
        <v>20</v>
      </c>
      <c r="K12" s="20" t="s">
        <v>492</v>
      </c>
      <c r="L12" s="23" t="str">
        <f>HYPERLINK("http://slimages.macys.com/is/image/MCY/671640 ")</f>
        <v xml:space="preserve">http://slimages.macys.com/is/image/MCY/671640 </v>
      </c>
    </row>
    <row r="13" spans="1:12" ht="39.950000000000003" customHeight="1" x14ac:dyDescent="0.25">
      <c r="A13" s="19" t="s">
        <v>1230</v>
      </c>
      <c r="B13" s="20" t="s">
        <v>1231</v>
      </c>
      <c r="C13" s="21">
        <v>1</v>
      </c>
      <c r="D13" s="22">
        <v>98.99</v>
      </c>
      <c r="E13" s="21">
        <v>14504</v>
      </c>
      <c r="F13" s="20" t="s">
        <v>289</v>
      </c>
      <c r="G13" s="19" t="s">
        <v>17</v>
      </c>
      <c r="H13" s="20" t="s">
        <v>79</v>
      </c>
      <c r="I13" s="20" t="s">
        <v>1232</v>
      </c>
      <c r="J13" s="20" t="s">
        <v>20</v>
      </c>
      <c r="K13" s="20" t="s">
        <v>1233</v>
      </c>
      <c r="L13" s="23" t="str">
        <f>HYPERLINK("http://slimages.macys.com/is/image/MCY/15113954 ")</f>
        <v xml:space="preserve">http://slimages.macys.com/is/image/MCY/15113954 </v>
      </c>
    </row>
    <row r="14" spans="1:12" ht="39.950000000000003" customHeight="1" x14ac:dyDescent="0.25">
      <c r="A14" s="19" t="s">
        <v>1234</v>
      </c>
      <c r="B14" s="20" t="s">
        <v>1235</v>
      </c>
      <c r="C14" s="21">
        <v>1</v>
      </c>
      <c r="D14" s="22">
        <v>99.99</v>
      </c>
      <c r="E14" s="21">
        <v>12398520</v>
      </c>
      <c r="F14" s="20" t="s">
        <v>555</v>
      </c>
      <c r="G14" s="19" t="s">
        <v>1236</v>
      </c>
      <c r="H14" s="20" t="s">
        <v>41</v>
      </c>
      <c r="I14" s="20" t="s">
        <v>299</v>
      </c>
      <c r="J14" s="20" t="s">
        <v>20</v>
      </c>
      <c r="K14" s="20" t="s">
        <v>1237</v>
      </c>
      <c r="L14" s="23" t="str">
        <f>HYPERLINK("http://slimages.macys.com/is/image/MCY/15915818 ")</f>
        <v xml:space="preserve">http://slimages.macys.com/is/image/MCY/15915818 </v>
      </c>
    </row>
    <row r="15" spans="1:12" ht="39.950000000000003" customHeight="1" x14ac:dyDescent="0.25">
      <c r="A15" s="19" t="s">
        <v>1238</v>
      </c>
      <c r="B15" s="20" t="s">
        <v>1239</v>
      </c>
      <c r="C15" s="21">
        <v>1</v>
      </c>
      <c r="D15" s="22">
        <v>128.99</v>
      </c>
      <c r="E15" s="21" t="s">
        <v>1240</v>
      </c>
      <c r="F15" s="20" t="s">
        <v>16</v>
      </c>
      <c r="G15" s="19" t="s">
        <v>17</v>
      </c>
      <c r="H15" s="20" t="s">
        <v>79</v>
      </c>
      <c r="I15" s="20" t="s">
        <v>1241</v>
      </c>
      <c r="J15" s="20" t="s">
        <v>110</v>
      </c>
      <c r="K15" s="20" t="s">
        <v>1242</v>
      </c>
      <c r="L15" s="23" t="str">
        <f>HYPERLINK("http://slimages.macys.com/is/image/MCY/10885137 ")</f>
        <v xml:space="preserve">http://slimages.macys.com/is/image/MCY/10885137 </v>
      </c>
    </row>
    <row r="16" spans="1:12" ht="39.950000000000003" customHeight="1" x14ac:dyDescent="0.25">
      <c r="A16" s="19" t="s">
        <v>1243</v>
      </c>
      <c r="B16" s="20" t="s">
        <v>1244</v>
      </c>
      <c r="C16" s="21">
        <v>3</v>
      </c>
      <c r="D16" s="22">
        <v>269.97000000000003</v>
      </c>
      <c r="E16" s="21" t="s">
        <v>1245</v>
      </c>
      <c r="F16" s="20" t="s">
        <v>54</v>
      </c>
      <c r="G16" s="19" t="s">
        <v>1229</v>
      </c>
      <c r="H16" s="20" t="s">
        <v>56</v>
      </c>
      <c r="I16" s="20" t="s">
        <v>432</v>
      </c>
      <c r="J16" s="20" t="s">
        <v>20</v>
      </c>
      <c r="K16" s="20" t="s">
        <v>208</v>
      </c>
      <c r="L16" s="23" t="str">
        <f>HYPERLINK("http://slimages.macys.com/is/image/MCY/3258406 ")</f>
        <v xml:space="preserve">http://slimages.macys.com/is/image/MCY/3258406 </v>
      </c>
    </row>
    <row r="17" spans="1:12" ht="39.950000000000003" customHeight="1" x14ac:dyDescent="0.25">
      <c r="A17" s="19" t="s">
        <v>1246</v>
      </c>
      <c r="B17" s="20" t="s">
        <v>1247</v>
      </c>
      <c r="C17" s="21">
        <v>1</v>
      </c>
      <c r="D17" s="22">
        <v>80</v>
      </c>
      <c r="E17" s="21">
        <v>123229.16</v>
      </c>
      <c r="F17" s="20" t="s">
        <v>685</v>
      </c>
      <c r="G17" s="19" t="s">
        <v>467</v>
      </c>
      <c r="H17" s="20" t="s">
        <v>41</v>
      </c>
      <c r="I17" s="20" t="s">
        <v>1248</v>
      </c>
      <c r="J17" s="20"/>
      <c r="K17" s="20"/>
      <c r="L17" s="23" t="str">
        <f>HYPERLINK("http://slimages.macys.com/is/image/MCY/17734900 ")</f>
        <v xml:space="preserve">http://slimages.macys.com/is/image/MCY/17734900 </v>
      </c>
    </row>
    <row r="18" spans="1:12" ht="39.950000000000003" customHeight="1" x14ac:dyDescent="0.25">
      <c r="A18" s="19" t="s">
        <v>1249</v>
      </c>
      <c r="B18" s="20" t="s">
        <v>1250</v>
      </c>
      <c r="C18" s="21">
        <v>1</v>
      </c>
      <c r="D18" s="22">
        <v>76</v>
      </c>
      <c r="E18" s="21" t="s">
        <v>1251</v>
      </c>
      <c r="F18" s="20" t="s">
        <v>755</v>
      </c>
      <c r="G18" s="19" t="s">
        <v>467</v>
      </c>
      <c r="H18" s="20" t="s">
        <v>41</v>
      </c>
      <c r="I18" s="20" t="s">
        <v>1248</v>
      </c>
      <c r="J18" s="20"/>
      <c r="K18" s="20"/>
      <c r="L18" s="23" t="str">
        <f>HYPERLINK("http://slimages.macys.com/is/image/MCY/17735606 ")</f>
        <v xml:space="preserve">http://slimages.macys.com/is/image/MCY/17735606 </v>
      </c>
    </row>
    <row r="19" spans="1:12" ht="39.950000000000003" customHeight="1" x14ac:dyDescent="0.25">
      <c r="A19" s="19" t="s">
        <v>1252</v>
      </c>
      <c r="B19" s="20" t="s">
        <v>1253</v>
      </c>
      <c r="C19" s="21">
        <v>1</v>
      </c>
      <c r="D19" s="22">
        <v>69.989999999999995</v>
      </c>
      <c r="E19" s="21" t="s">
        <v>1254</v>
      </c>
      <c r="F19" s="20" t="s">
        <v>600</v>
      </c>
      <c r="G19" s="19"/>
      <c r="H19" s="20" t="s">
        <v>41</v>
      </c>
      <c r="I19" s="20" t="s">
        <v>103</v>
      </c>
      <c r="J19" s="20" t="s">
        <v>20</v>
      </c>
      <c r="K19" s="20" t="s">
        <v>21</v>
      </c>
      <c r="L19" s="23" t="str">
        <f>HYPERLINK("http://slimages.macys.com/is/image/MCY/16310926 ")</f>
        <v xml:space="preserve">http://slimages.macys.com/is/image/MCY/16310926 </v>
      </c>
    </row>
    <row r="20" spans="1:12" ht="39.950000000000003" customHeight="1" x14ac:dyDescent="0.25">
      <c r="A20" s="19" t="s">
        <v>1255</v>
      </c>
      <c r="B20" s="20" t="s">
        <v>1256</v>
      </c>
      <c r="C20" s="21">
        <v>1</v>
      </c>
      <c r="D20" s="22">
        <v>69.989999999999995</v>
      </c>
      <c r="E20" s="21">
        <v>92381</v>
      </c>
      <c r="F20" s="20" t="s">
        <v>16</v>
      </c>
      <c r="G20" s="19" t="s">
        <v>17</v>
      </c>
      <c r="H20" s="20" t="s">
        <v>48</v>
      </c>
      <c r="I20" s="20" t="s">
        <v>543</v>
      </c>
      <c r="J20" s="20" t="s">
        <v>20</v>
      </c>
      <c r="K20" s="20" t="s">
        <v>208</v>
      </c>
      <c r="L20" s="23" t="str">
        <f>HYPERLINK("http://slimages.macys.com/is/image/MCY/3196153 ")</f>
        <v xml:space="preserve">http://slimages.macys.com/is/image/MCY/3196153 </v>
      </c>
    </row>
    <row r="21" spans="1:12" ht="39.950000000000003" customHeight="1" x14ac:dyDescent="0.25">
      <c r="A21" s="19" t="s">
        <v>1257</v>
      </c>
      <c r="B21" s="20" t="s">
        <v>1258</v>
      </c>
      <c r="C21" s="21">
        <v>1</v>
      </c>
      <c r="D21" s="22">
        <v>69.989999999999995</v>
      </c>
      <c r="E21" s="21" t="s">
        <v>1259</v>
      </c>
      <c r="F21" s="20" t="s">
        <v>1260</v>
      </c>
      <c r="G21" s="19"/>
      <c r="H21" s="20" t="s">
        <v>85</v>
      </c>
      <c r="I21" s="20" t="s">
        <v>103</v>
      </c>
      <c r="J21" s="20" t="s">
        <v>20</v>
      </c>
      <c r="K21" s="20" t="s">
        <v>21</v>
      </c>
      <c r="L21" s="23" t="str">
        <f>HYPERLINK("http://slimages.macys.com/is/image/MCY/10892932 ")</f>
        <v xml:space="preserve">http://slimages.macys.com/is/image/MCY/10892932 </v>
      </c>
    </row>
    <row r="22" spans="1:12" ht="39.950000000000003" customHeight="1" x14ac:dyDescent="0.25">
      <c r="A22" s="19" t="s">
        <v>1261</v>
      </c>
      <c r="B22" s="20" t="s">
        <v>1262</v>
      </c>
      <c r="C22" s="21">
        <v>1</v>
      </c>
      <c r="D22" s="22">
        <v>87.99</v>
      </c>
      <c r="E22" s="21" t="s">
        <v>1263</v>
      </c>
      <c r="F22" s="20" t="s">
        <v>394</v>
      </c>
      <c r="G22" s="19" t="s">
        <v>467</v>
      </c>
      <c r="H22" s="20" t="s">
        <v>108</v>
      </c>
      <c r="I22" s="20" t="s">
        <v>1264</v>
      </c>
      <c r="J22" s="20" t="s">
        <v>20</v>
      </c>
      <c r="K22" s="20" t="s">
        <v>98</v>
      </c>
      <c r="L22" s="23" t="str">
        <f>HYPERLINK("http://slimages.macys.com/is/image/MCY/11301663 ")</f>
        <v xml:space="preserve">http://slimages.macys.com/is/image/MCY/11301663 </v>
      </c>
    </row>
    <row r="23" spans="1:12" ht="39.950000000000003" customHeight="1" x14ac:dyDescent="0.25">
      <c r="A23" s="19" t="s">
        <v>1265</v>
      </c>
      <c r="B23" s="20" t="s">
        <v>1266</v>
      </c>
      <c r="C23" s="21">
        <v>1</v>
      </c>
      <c r="D23" s="22">
        <v>75.989999999999995</v>
      </c>
      <c r="E23" s="21" t="s">
        <v>1267</v>
      </c>
      <c r="F23" s="20" t="s">
        <v>349</v>
      </c>
      <c r="G23" s="19" t="s">
        <v>17</v>
      </c>
      <c r="H23" s="20" t="s">
        <v>79</v>
      </c>
      <c r="I23" s="20" t="s">
        <v>1268</v>
      </c>
      <c r="J23" s="20" t="s">
        <v>1269</v>
      </c>
      <c r="K23" s="20" t="s">
        <v>488</v>
      </c>
      <c r="L23" s="23" t="str">
        <f>HYPERLINK("http://slimages.macys.com/is/image/MCY/14447381 ")</f>
        <v xml:space="preserve">http://slimages.macys.com/is/image/MCY/14447381 </v>
      </c>
    </row>
    <row r="24" spans="1:12" ht="39.950000000000003" customHeight="1" x14ac:dyDescent="0.25">
      <c r="A24" s="19" t="s">
        <v>1270</v>
      </c>
      <c r="B24" s="20" t="s">
        <v>1271</v>
      </c>
      <c r="C24" s="21">
        <v>1</v>
      </c>
      <c r="D24" s="22">
        <v>68.989999999999995</v>
      </c>
      <c r="E24" s="21" t="s">
        <v>1272</v>
      </c>
      <c r="F24" s="20" t="s">
        <v>483</v>
      </c>
      <c r="G24" s="19" t="s">
        <v>17</v>
      </c>
      <c r="H24" s="20" t="s">
        <v>56</v>
      </c>
      <c r="I24" s="20" t="s">
        <v>1273</v>
      </c>
      <c r="J24" s="20" t="s">
        <v>20</v>
      </c>
      <c r="K24" s="20" t="s">
        <v>1274</v>
      </c>
      <c r="L24" s="23" t="str">
        <f>HYPERLINK("http://slimages.macys.com/is/image/MCY/12706897 ")</f>
        <v xml:space="preserve">http://slimages.macys.com/is/image/MCY/12706897 </v>
      </c>
    </row>
    <row r="25" spans="1:12" ht="39.950000000000003" customHeight="1" x14ac:dyDescent="0.25">
      <c r="A25" s="19" t="s">
        <v>1275</v>
      </c>
      <c r="B25" s="20" t="s">
        <v>1276</v>
      </c>
      <c r="C25" s="21">
        <v>1</v>
      </c>
      <c r="D25" s="22">
        <v>57.99</v>
      </c>
      <c r="E25" s="21" t="s">
        <v>1277</v>
      </c>
      <c r="F25" s="20"/>
      <c r="G25" s="19" t="s">
        <v>17</v>
      </c>
      <c r="H25" s="20" t="s">
        <v>79</v>
      </c>
      <c r="I25" s="20" t="s">
        <v>1278</v>
      </c>
      <c r="J25" s="20" t="s">
        <v>20</v>
      </c>
      <c r="K25" s="20" t="s">
        <v>1279</v>
      </c>
      <c r="L25" s="23" t="str">
        <f>HYPERLINK("http://slimages.macys.com/is/image/MCY/9838718 ")</f>
        <v xml:space="preserve">http://slimages.macys.com/is/image/MCY/9838718 </v>
      </c>
    </row>
    <row r="26" spans="1:12" ht="39.950000000000003" customHeight="1" x14ac:dyDescent="0.25">
      <c r="A26" s="19" t="s">
        <v>1280</v>
      </c>
      <c r="B26" s="20" t="s">
        <v>1281</v>
      </c>
      <c r="C26" s="21">
        <v>1</v>
      </c>
      <c r="D26" s="22">
        <v>59.99</v>
      </c>
      <c r="E26" s="21">
        <v>5174729</v>
      </c>
      <c r="F26" s="20" t="s">
        <v>54</v>
      </c>
      <c r="G26" s="19" t="s">
        <v>17</v>
      </c>
      <c r="H26" s="20" t="s">
        <v>56</v>
      </c>
      <c r="I26" s="20" t="s">
        <v>423</v>
      </c>
      <c r="J26" s="20" t="s">
        <v>20</v>
      </c>
      <c r="K26" s="20" t="s">
        <v>492</v>
      </c>
      <c r="L26" s="23" t="str">
        <f>HYPERLINK("http://slimages.macys.com/is/image/MCY/8019199 ")</f>
        <v xml:space="preserve">http://slimages.macys.com/is/image/MCY/8019199 </v>
      </c>
    </row>
    <row r="27" spans="1:12" ht="39.950000000000003" customHeight="1" x14ac:dyDescent="0.25">
      <c r="A27" s="19" t="s">
        <v>1282</v>
      </c>
      <c r="B27" s="20" t="s">
        <v>1283</v>
      </c>
      <c r="C27" s="21">
        <v>1</v>
      </c>
      <c r="D27" s="22">
        <v>59.99</v>
      </c>
      <c r="E27" s="21">
        <v>5174730</v>
      </c>
      <c r="F27" s="20" t="s">
        <v>54</v>
      </c>
      <c r="G27" s="19" t="s">
        <v>17</v>
      </c>
      <c r="H27" s="20" t="s">
        <v>56</v>
      </c>
      <c r="I27" s="20" t="s">
        <v>423</v>
      </c>
      <c r="J27" s="20" t="s">
        <v>20</v>
      </c>
      <c r="K27" s="20" t="s">
        <v>492</v>
      </c>
      <c r="L27" s="23" t="str">
        <f>HYPERLINK("http://slimages.macys.com/is/image/MCY/8019198 ")</f>
        <v xml:space="preserve">http://slimages.macys.com/is/image/MCY/8019198 </v>
      </c>
    </row>
    <row r="28" spans="1:12" ht="39.950000000000003" customHeight="1" x14ac:dyDescent="0.25">
      <c r="A28" s="19" t="s">
        <v>1284</v>
      </c>
      <c r="B28" s="20" t="s">
        <v>1285</v>
      </c>
      <c r="C28" s="21">
        <v>1</v>
      </c>
      <c r="D28" s="22">
        <v>59.99</v>
      </c>
      <c r="E28" s="21" t="s">
        <v>1286</v>
      </c>
      <c r="F28" s="20" t="s">
        <v>89</v>
      </c>
      <c r="G28" s="19" t="s">
        <v>467</v>
      </c>
      <c r="H28" s="20" t="s">
        <v>108</v>
      </c>
      <c r="I28" s="20" t="s">
        <v>479</v>
      </c>
      <c r="J28" s="20" t="s">
        <v>20</v>
      </c>
      <c r="K28" s="20" t="s">
        <v>21</v>
      </c>
      <c r="L28" s="23" t="str">
        <f>HYPERLINK("http://slimages.macys.com/is/image/MCY/15270276 ")</f>
        <v xml:space="preserve">http://slimages.macys.com/is/image/MCY/15270276 </v>
      </c>
    </row>
    <row r="29" spans="1:12" ht="39.950000000000003" customHeight="1" x14ac:dyDescent="0.25">
      <c r="A29" s="19" t="s">
        <v>1287</v>
      </c>
      <c r="B29" s="20" t="s">
        <v>1288</v>
      </c>
      <c r="C29" s="21">
        <v>1</v>
      </c>
      <c r="D29" s="22">
        <v>60</v>
      </c>
      <c r="E29" s="21" t="s">
        <v>1289</v>
      </c>
      <c r="F29" s="20" t="s">
        <v>16</v>
      </c>
      <c r="G29" s="19"/>
      <c r="H29" s="20" t="s">
        <v>65</v>
      </c>
      <c r="I29" s="20" t="s">
        <v>97</v>
      </c>
      <c r="J29" s="20" t="s">
        <v>20</v>
      </c>
      <c r="K29" s="20"/>
      <c r="L29" s="23" t="str">
        <f>HYPERLINK("http://slimages.macys.com/is/image/MCY/2893394 ")</f>
        <v xml:space="preserve">http://slimages.macys.com/is/image/MCY/2893394 </v>
      </c>
    </row>
    <row r="30" spans="1:12" ht="39.950000000000003" customHeight="1" x14ac:dyDescent="0.25">
      <c r="A30" s="19" t="s">
        <v>1290</v>
      </c>
      <c r="B30" s="20" t="s">
        <v>1291</v>
      </c>
      <c r="C30" s="21">
        <v>1</v>
      </c>
      <c r="D30" s="22">
        <v>65.989999999999995</v>
      </c>
      <c r="E30" s="21" t="s">
        <v>1292</v>
      </c>
      <c r="F30" s="20" t="s">
        <v>131</v>
      </c>
      <c r="G30" s="19" t="s">
        <v>17</v>
      </c>
      <c r="H30" s="20" t="s">
        <v>32</v>
      </c>
      <c r="I30" s="20" t="s">
        <v>33</v>
      </c>
      <c r="J30" s="20"/>
      <c r="K30" s="20" t="s">
        <v>1293</v>
      </c>
      <c r="L30" s="23" t="str">
        <f>HYPERLINK("http://slimages.macys.com/is/image/MCY/13329239 ")</f>
        <v xml:space="preserve">http://slimages.macys.com/is/image/MCY/13329239 </v>
      </c>
    </row>
    <row r="31" spans="1:12" ht="39.950000000000003" customHeight="1" x14ac:dyDescent="0.25">
      <c r="A31" s="19" t="s">
        <v>1294</v>
      </c>
      <c r="B31" s="20" t="s">
        <v>1295</v>
      </c>
      <c r="C31" s="21">
        <v>1</v>
      </c>
      <c r="D31" s="22">
        <v>54.99</v>
      </c>
      <c r="E31" s="21" t="s">
        <v>1296</v>
      </c>
      <c r="F31" s="20" t="s">
        <v>89</v>
      </c>
      <c r="G31" s="19" t="s">
        <v>467</v>
      </c>
      <c r="H31" s="20" t="s">
        <v>41</v>
      </c>
      <c r="I31" s="20" t="s">
        <v>479</v>
      </c>
      <c r="J31" s="20" t="s">
        <v>20</v>
      </c>
      <c r="K31" s="20" t="s">
        <v>21</v>
      </c>
      <c r="L31" s="23" t="str">
        <f>HYPERLINK("http://slimages.macys.com/is/image/MCY/11290135 ")</f>
        <v xml:space="preserve">http://slimages.macys.com/is/image/MCY/11290135 </v>
      </c>
    </row>
    <row r="32" spans="1:12" ht="39.950000000000003" customHeight="1" x14ac:dyDescent="0.25">
      <c r="A32" s="19" t="s">
        <v>1297</v>
      </c>
      <c r="B32" s="20" t="s">
        <v>1298</v>
      </c>
      <c r="C32" s="21">
        <v>1</v>
      </c>
      <c r="D32" s="22">
        <v>57.99</v>
      </c>
      <c r="E32" s="21" t="s">
        <v>1299</v>
      </c>
      <c r="F32" s="20"/>
      <c r="G32" s="19" t="s">
        <v>17</v>
      </c>
      <c r="H32" s="20" t="s">
        <v>1199</v>
      </c>
      <c r="I32" s="20" t="s">
        <v>1300</v>
      </c>
      <c r="J32" s="20" t="s">
        <v>20</v>
      </c>
      <c r="K32" s="20" t="s">
        <v>1301</v>
      </c>
      <c r="L32" s="23" t="str">
        <f>HYPERLINK("http://slimages.macys.com/is/image/MCY/11773002 ")</f>
        <v xml:space="preserve">http://slimages.macys.com/is/image/MCY/11773002 </v>
      </c>
    </row>
    <row r="33" spans="1:12" ht="39.950000000000003" customHeight="1" x14ac:dyDescent="0.25">
      <c r="A33" s="19" t="s">
        <v>1302</v>
      </c>
      <c r="B33" s="20" t="s">
        <v>1303</v>
      </c>
      <c r="C33" s="21">
        <v>1</v>
      </c>
      <c r="D33" s="22">
        <v>59.99</v>
      </c>
      <c r="E33" s="21" t="s">
        <v>1304</v>
      </c>
      <c r="F33" s="20" t="s">
        <v>755</v>
      </c>
      <c r="G33" s="19"/>
      <c r="H33" s="20" t="s">
        <v>328</v>
      </c>
      <c r="I33" s="20" t="s">
        <v>620</v>
      </c>
      <c r="J33" s="20" t="s">
        <v>20</v>
      </c>
      <c r="K33" s="20" t="s">
        <v>362</v>
      </c>
      <c r="L33" s="23" t="str">
        <f>HYPERLINK("http://slimages.macys.com/is/image/MCY/540879 ")</f>
        <v xml:space="preserve">http://slimages.macys.com/is/image/MCY/540879 </v>
      </c>
    </row>
    <row r="34" spans="1:12" ht="39.950000000000003" customHeight="1" x14ac:dyDescent="0.25">
      <c r="A34" s="19" t="s">
        <v>1305</v>
      </c>
      <c r="B34" s="20" t="s">
        <v>1306</v>
      </c>
      <c r="C34" s="21">
        <v>1</v>
      </c>
      <c r="D34" s="22">
        <v>49.99</v>
      </c>
      <c r="E34" s="21" t="s">
        <v>1307</v>
      </c>
      <c r="F34" s="20" t="s">
        <v>483</v>
      </c>
      <c r="G34" s="19" t="s">
        <v>17</v>
      </c>
      <c r="H34" s="20" t="s">
        <v>79</v>
      </c>
      <c r="I34" s="20" t="s">
        <v>508</v>
      </c>
      <c r="J34" s="20" t="s">
        <v>20</v>
      </c>
      <c r="K34" s="20" t="s">
        <v>1308</v>
      </c>
      <c r="L34" s="23" t="str">
        <f>HYPERLINK("http://slimages.macys.com/is/image/MCY/8667142 ")</f>
        <v xml:space="preserve">http://slimages.macys.com/is/image/MCY/8667142 </v>
      </c>
    </row>
    <row r="35" spans="1:12" ht="39.950000000000003" customHeight="1" x14ac:dyDescent="0.25">
      <c r="A35" s="19" t="s">
        <v>1309</v>
      </c>
      <c r="B35" s="20" t="s">
        <v>1310</v>
      </c>
      <c r="C35" s="21">
        <v>1</v>
      </c>
      <c r="D35" s="22">
        <v>38.99</v>
      </c>
      <c r="E35" s="21" t="s">
        <v>1311</v>
      </c>
      <c r="F35" s="20" t="s">
        <v>89</v>
      </c>
      <c r="G35" s="19" t="s">
        <v>17</v>
      </c>
      <c r="H35" s="20" t="s">
        <v>41</v>
      </c>
      <c r="I35" s="20" t="s">
        <v>1312</v>
      </c>
      <c r="J35" s="20" t="s">
        <v>20</v>
      </c>
      <c r="K35" s="20" t="s">
        <v>640</v>
      </c>
      <c r="L35" s="23" t="str">
        <f>HYPERLINK("http://slimages.macys.com/is/image/MCY/12004150 ")</f>
        <v xml:space="preserve">http://slimages.macys.com/is/image/MCY/12004150 </v>
      </c>
    </row>
    <row r="36" spans="1:12" ht="39.950000000000003" customHeight="1" x14ac:dyDescent="0.25">
      <c r="A36" s="19" t="s">
        <v>1313</v>
      </c>
      <c r="B36" s="20" t="s">
        <v>1314</v>
      </c>
      <c r="C36" s="21">
        <v>1</v>
      </c>
      <c r="D36" s="22">
        <v>65.989999999999995</v>
      </c>
      <c r="E36" s="21" t="s">
        <v>1315</v>
      </c>
      <c r="F36" s="20" t="s">
        <v>394</v>
      </c>
      <c r="G36" s="19" t="s">
        <v>467</v>
      </c>
      <c r="H36" s="20" t="s">
        <v>41</v>
      </c>
      <c r="I36" s="20" t="s">
        <v>1264</v>
      </c>
      <c r="J36" s="20" t="s">
        <v>20</v>
      </c>
      <c r="K36" s="20" t="s">
        <v>98</v>
      </c>
      <c r="L36" s="23" t="str">
        <f>HYPERLINK("http://slimages.macys.com/is/image/MCY/12031833 ")</f>
        <v xml:space="preserve">http://slimages.macys.com/is/image/MCY/12031833 </v>
      </c>
    </row>
    <row r="37" spans="1:12" ht="39.950000000000003" customHeight="1" x14ac:dyDescent="0.25">
      <c r="A37" s="19" t="s">
        <v>1316</v>
      </c>
      <c r="B37" s="20" t="s">
        <v>1317</v>
      </c>
      <c r="C37" s="21">
        <v>1</v>
      </c>
      <c r="D37" s="22">
        <v>59.99</v>
      </c>
      <c r="E37" s="21">
        <v>100117338</v>
      </c>
      <c r="F37" s="20" t="s">
        <v>16</v>
      </c>
      <c r="G37" s="19" t="s">
        <v>17</v>
      </c>
      <c r="H37" s="20" t="s">
        <v>72</v>
      </c>
      <c r="I37" s="20" t="s">
        <v>581</v>
      </c>
      <c r="J37" s="20"/>
      <c r="K37" s="20"/>
      <c r="L37" s="23" t="str">
        <f>HYPERLINK("http://slimages.macys.com/is/image/MCY/18457324 ")</f>
        <v xml:space="preserve">http://slimages.macys.com/is/image/MCY/18457324 </v>
      </c>
    </row>
    <row r="38" spans="1:12" ht="39.950000000000003" customHeight="1" x14ac:dyDescent="0.25">
      <c r="A38" s="19" t="s">
        <v>1318</v>
      </c>
      <c r="B38" s="20" t="s">
        <v>1319</v>
      </c>
      <c r="C38" s="21">
        <v>1</v>
      </c>
      <c r="D38" s="22">
        <v>50</v>
      </c>
      <c r="E38" s="21" t="s">
        <v>1320</v>
      </c>
      <c r="F38" s="20" t="s">
        <v>1321</v>
      </c>
      <c r="G38" s="19" t="s">
        <v>1322</v>
      </c>
      <c r="H38" s="20" t="s">
        <v>65</v>
      </c>
      <c r="I38" s="20" t="s">
        <v>270</v>
      </c>
      <c r="J38" s="20" t="s">
        <v>132</v>
      </c>
      <c r="K38" s="20" t="s">
        <v>1323</v>
      </c>
      <c r="L38" s="23" t="str">
        <f>HYPERLINK("http://slimages.macys.com/is/image/MCY/11975412 ")</f>
        <v xml:space="preserve">http://slimages.macys.com/is/image/MCY/11975412 </v>
      </c>
    </row>
    <row r="39" spans="1:12" ht="39.950000000000003" customHeight="1" x14ac:dyDescent="0.25">
      <c r="A39" s="19" t="s">
        <v>1324</v>
      </c>
      <c r="B39" s="20" t="s">
        <v>1325</v>
      </c>
      <c r="C39" s="21">
        <v>1</v>
      </c>
      <c r="D39" s="22">
        <v>49.99</v>
      </c>
      <c r="E39" s="21" t="s">
        <v>1326</v>
      </c>
      <c r="F39" s="20" t="s">
        <v>16</v>
      </c>
      <c r="G39" s="19"/>
      <c r="H39" s="20" t="s">
        <v>41</v>
      </c>
      <c r="I39" s="20" t="s">
        <v>103</v>
      </c>
      <c r="J39" s="20" t="s">
        <v>20</v>
      </c>
      <c r="K39" s="20" t="s">
        <v>98</v>
      </c>
      <c r="L39" s="23" t="str">
        <f>HYPERLINK("http://slimages.macys.com/is/image/MCY/15847146 ")</f>
        <v xml:space="preserve">http://slimages.macys.com/is/image/MCY/15847146 </v>
      </c>
    </row>
    <row r="40" spans="1:12" ht="39.950000000000003" customHeight="1" x14ac:dyDescent="0.25">
      <c r="A40" s="19" t="s">
        <v>1327</v>
      </c>
      <c r="B40" s="20" t="s">
        <v>1328</v>
      </c>
      <c r="C40" s="21">
        <v>2</v>
      </c>
      <c r="D40" s="22">
        <v>100</v>
      </c>
      <c r="E40" s="21">
        <v>164646</v>
      </c>
      <c r="F40" s="20" t="s">
        <v>16</v>
      </c>
      <c r="G40" s="19" t="s">
        <v>24</v>
      </c>
      <c r="H40" s="20" t="s">
        <v>48</v>
      </c>
      <c r="I40" s="20" t="s">
        <v>551</v>
      </c>
      <c r="J40" s="20" t="s">
        <v>20</v>
      </c>
      <c r="K40" s="20" t="s">
        <v>1329</v>
      </c>
      <c r="L40" s="23" t="str">
        <f>HYPERLINK("http://slimages.macys.com/is/image/MCY/2659636 ")</f>
        <v xml:space="preserve">http://slimages.macys.com/is/image/MCY/2659636 </v>
      </c>
    </row>
    <row r="41" spans="1:12" ht="39.950000000000003" customHeight="1" x14ac:dyDescent="0.25">
      <c r="A41" s="19" t="s">
        <v>1330</v>
      </c>
      <c r="B41" s="20" t="s">
        <v>1331</v>
      </c>
      <c r="C41" s="21">
        <v>1</v>
      </c>
      <c r="D41" s="22">
        <v>49.99</v>
      </c>
      <c r="E41" s="21" t="s">
        <v>1332</v>
      </c>
      <c r="F41" s="20" t="s">
        <v>436</v>
      </c>
      <c r="G41" s="19"/>
      <c r="H41" s="20" t="s">
        <v>48</v>
      </c>
      <c r="I41" s="20" t="s">
        <v>207</v>
      </c>
      <c r="J41" s="20" t="s">
        <v>20</v>
      </c>
      <c r="K41" s="20" t="s">
        <v>208</v>
      </c>
      <c r="L41" s="23" t="str">
        <f>HYPERLINK("http://slimages.macys.com/is/image/MCY/14840610 ")</f>
        <v xml:space="preserve">http://slimages.macys.com/is/image/MCY/14840610 </v>
      </c>
    </row>
    <row r="42" spans="1:12" ht="39.950000000000003" customHeight="1" x14ac:dyDescent="0.25">
      <c r="A42" s="19" t="s">
        <v>1333</v>
      </c>
      <c r="B42" s="20" t="s">
        <v>1334</v>
      </c>
      <c r="C42" s="21">
        <v>1</v>
      </c>
      <c r="D42" s="22">
        <v>50</v>
      </c>
      <c r="E42" s="21">
        <v>40033795</v>
      </c>
      <c r="F42" s="20" t="s">
        <v>16</v>
      </c>
      <c r="G42" s="19"/>
      <c r="H42" s="20" t="s">
        <v>48</v>
      </c>
      <c r="I42" s="20" t="s">
        <v>551</v>
      </c>
      <c r="J42" s="20" t="s">
        <v>20</v>
      </c>
      <c r="K42" s="20" t="s">
        <v>1329</v>
      </c>
      <c r="L42" s="23" t="str">
        <f>HYPERLINK("http://slimages.macys.com/is/image/MCY/12056439 ")</f>
        <v xml:space="preserve">http://slimages.macys.com/is/image/MCY/12056439 </v>
      </c>
    </row>
    <row r="43" spans="1:12" ht="39.950000000000003" customHeight="1" x14ac:dyDescent="0.25">
      <c r="A43" s="19" t="s">
        <v>1335</v>
      </c>
      <c r="B43" s="20" t="s">
        <v>1336</v>
      </c>
      <c r="C43" s="21">
        <v>1</v>
      </c>
      <c r="D43" s="22">
        <v>125.99</v>
      </c>
      <c r="E43" s="21" t="s">
        <v>1337</v>
      </c>
      <c r="F43" s="20" t="s">
        <v>78</v>
      </c>
      <c r="G43" s="19"/>
      <c r="H43" s="20" t="s">
        <v>79</v>
      </c>
      <c r="I43" s="20" t="s">
        <v>639</v>
      </c>
      <c r="J43" s="20" t="s">
        <v>20</v>
      </c>
      <c r="K43" s="20" t="s">
        <v>1338</v>
      </c>
      <c r="L43" s="23" t="str">
        <f>HYPERLINK("http://slimages.macys.com/is/image/MCY/9279929 ")</f>
        <v xml:space="preserve">http://slimages.macys.com/is/image/MCY/9279929 </v>
      </c>
    </row>
    <row r="44" spans="1:12" ht="39.950000000000003" customHeight="1" x14ac:dyDescent="0.25">
      <c r="A44" s="19" t="s">
        <v>1339</v>
      </c>
      <c r="B44" s="20" t="s">
        <v>1340</v>
      </c>
      <c r="C44" s="21">
        <v>1</v>
      </c>
      <c r="D44" s="22">
        <v>45.99</v>
      </c>
      <c r="E44" s="21" t="s">
        <v>1341</v>
      </c>
      <c r="F44" s="20" t="s">
        <v>16</v>
      </c>
      <c r="G44" s="19"/>
      <c r="H44" s="20" t="s">
        <v>48</v>
      </c>
      <c r="I44" s="20" t="s">
        <v>1342</v>
      </c>
      <c r="J44" s="20" t="s">
        <v>110</v>
      </c>
      <c r="K44" s="20" t="s">
        <v>67</v>
      </c>
      <c r="L44" s="23" t="str">
        <f>HYPERLINK("http://slimages.macys.com/is/image/MCY/12070168 ")</f>
        <v xml:space="preserve">http://slimages.macys.com/is/image/MCY/12070168 </v>
      </c>
    </row>
    <row r="45" spans="1:12" ht="39.950000000000003" customHeight="1" x14ac:dyDescent="0.25">
      <c r="A45" s="19" t="s">
        <v>1343</v>
      </c>
      <c r="B45" s="20" t="s">
        <v>1344</v>
      </c>
      <c r="C45" s="21">
        <v>1</v>
      </c>
      <c r="D45" s="22">
        <v>45.99</v>
      </c>
      <c r="E45" s="21" t="s">
        <v>1345</v>
      </c>
      <c r="F45" s="20" t="s">
        <v>555</v>
      </c>
      <c r="G45" s="19" t="s">
        <v>17</v>
      </c>
      <c r="H45" s="20" t="s">
        <v>533</v>
      </c>
      <c r="I45" s="20" t="s">
        <v>1346</v>
      </c>
      <c r="J45" s="20" t="s">
        <v>20</v>
      </c>
      <c r="K45" s="20" t="s">
        <v>1347</v>
      </c>
      <c r="L45" s="23" t="str">
        <f>HYPERLINK("http://slimages.macys.com/is/image/MCY/11583545 ")</f>
        <v xml:space="preserve">http://slimages.macys.com/is/image/MCY/11583545 </v>
      </c>
    </row>
    <row r="46" spans="1:12" ht="39.950000000000003" customHeight="1" x14ac:dyDescent="0.25">
      <c r="A46" s="19" t="s">
        <v>1348</v>
      </c>
      <c r="B46" s="20" t="s">
        <v>1349</v>
      </c>
      <c r="C46" s="21">
        <v>1</v>
      </c>
      <c r="D46" s="22">
        <v>34.99</v>
      </c>
      <c r="E46" s="21">
        <v>831343</v>
      </c>
      <c r="F46" s="20" t="s">
        <v>1350</v>
      </c>
      <c r="G46" s="19" t="s">
        <v>107</v>
      </c>
      <c r="H46" s="20" t="s">
        <v>41</v>
      </c>
      <c r="I46" s="20" t="s">
        <v>109</v>
      </c>
      <c r="J46" s="20" t="s">
        <v>110</v>
      </c>
      <c r="K46" s="20" t="s">
        <v>640</v>
      </c>
      <c r="L46" s="23" t="str">
        <f>HYPERLINK("http://slimages.macys.com/is/image/MCY/9554014 ")</f>
        <v xml:space="preserve">http://slimages.macys.com/is/image/MCY/9554014 </v>
      </c>
    </row>
    <row r="47" spans="1:12" ht="39.950000000000003" customHeight="1" x14ac:dyDescent="0.25">
      <c r="A47" s="19" t="s">
        <v>1351</v>
      </c>
      <c r="B47" s="20" t="s">
        <v>1352</v>
      </c>
      <c r="C47" s="21">
        <v>2</v>
      </c>
      <c r="D47" s="22">
        <v>69.98</v>
      </c>
      <c r="E47" s="21">
        <v>831107</v>
      </c>
      <c r="F47" s="20" t="s">
        <v>16</v>
      </c>
      <c r="G47" s="19" t="s">
        <v>107</v>
      </c>
      <c r="H47" s="20" t="s">
        <v>41</v>
      </c>
      <c r="I47" s="20" t="s">
        <v>109</v>
      </c>
      <c r="J47" s="20"/>
      <c r="K47" s="20" t="s">
        <v>111</v>
      </c>
      <c r="L47" s="23" t="str">
        <f>HYPERLINK("http://slimages.macys.com/is/image/MCY/2321198 ")</f>
        <v xml:space="preserve">http://slimages.macys.com/is/image/MCY/2321198 </v>
      </c>
    </row>
    <row r="48" spans="1:12" ht="39.950000000000003" customHeight="1" x14ac:dyDescent="0.25">
      <c r="A48" s="19" t="s">
        <v>1353</v>
      </c>
      <c r="B48" s="20" t="s">
        <v>1354</v>
      </c>
      <c r="C48" s="21">
        <v>3</v>
      </c>
      <c r="D48" s="22">
        <v>122.97</v>
      </c>
      <c r="E48" s="21" t="s">
        <v>1355</v>
      </c>
      <c r="F48" s="20" t="s">
        <v>349</v>
      </c>
      <c r="G48" s="19" t="s">
        <v>1196</v>
      </c>
      <c r="H48" s="20" t="s">
        <v>56</v>
      </c>
      <c r="I48" s="20" t="s">
        <v>1356</v>
      </c>
      <c r="J48" s="20"/>
      <c r="K48" s="20"/>
      <c r="L48" s="23" t="str">
        <f>HYPERLINK("http://slimages.macys.com/is/image/MCY/17657731 ")</f>
        <v xml:space="preserve">http://slimages.macys.com/is/image/MCY/17657731 </v>
      </c>
    </row>
    <row r="49" spans="1:12" ht="39.950000000000003" customHeight="1" x14ac:dyDescent="0.25">
      <c r="A49" s="19" t="s">
        <v>1357</v>
      </c>
      <c r="B49" s="20" t="s">
        <v>1358</v>
      </c>
      <c r="C49" s="21">
        <v>1</v>
      </c>
      <c r="D49" s="22">
        <v>38.99</v>
      </c>
      <c r="E49" s="21" t="s">
        <v>1359</v>
      </c>
      <c r="F49" s="20"/>
      <c r="G49" s="19" t="s">
        <v>17</v>
      </c>
      <c r="H49" s="20" t="s">
        <v>41</v>
      </c>
      <c r="I49" s="20" t="s">
        <v>1360</v>
      </c>
      <c r="J49" s="20" t="s">
        <v>132</v>
      </c>
      <c r="K49" s="20" t="s">
        <v>98</v>
      </c>
      <c r="L49" s="23" t="str">
        <f>HYPERLINK("http://slimages.macys.com/is/image/MCY/12672871 ")</f>
        <v xml:space="preserve">http://slimages.macys.com/is/image/MCY/12672871 </v>
      </c>
    </row>
    <row r="50" spans="1:12" ht="39.950000000000003" customHeight="1" x14ac:dyDescent="0.25">
      <c r="A50" s="19" t="s">
        <v>1361</v>
      </c>
      <c r="B50" s="20" t="s">
        <v>1362</v>
      </c>
      <c r="C50" s="21">
        <v>1</v>
      </c>
      <c r="D50" s="22">
        <v>40.99</v>
      </c>
      <c r="E50" s="21" t="s">
        <v>1363</v>
      </c>
      <c r="F50" s="20" t="s">
        <v>78</v>
      </c>
      <c r="G50" s="19" t="s">
        <v>17</v>
      </c>
      <c r="H50" s="20" t="s">
        <v>79</v>
      </c>
      <c r="I50" s="20" t="s">
        <v>1278</v>
      </c>
      <c r="J50" s="20" t="s">
        <v>20</v>
      </c>
      <c r="K50" s="20" t="s">
        <v>1279</v>
      </c>
      <c r="L50" s="23" t="str">
        <f>HYPERLINK("http://slimages.macys.com/is/image/MCY/9799828 ")</f>
        <v xml:space="preserve">http://slimages.macys.com/is/image/MCY/9799828 </v>
      </c>
    </row>
    <row r="51" spans="1:12" ht="39.950000000000003" customHeight="1" x14ac:dyDescent="0.25">
      <c r="A51" s="19" t="s">
        <v>1364</v>
      </c>
      <c r="B51" s="20" t="s">
        <v>1365</v>
      </c>
      <c r="C51" s="21">
        <v>1</v>
      </c>
      <c r="D51" s="22">
        <v>44.99</v>
      </c>
      <c r="E51" s="21" t="s">
        <v>1366</v>
      </c>
      <c r="F51" s="20" t="s">
        <v>674</v>
      </c>
      <c r="G51" s="19" t="s">
        <v>17</v>
      </c>
      <c r="H51" s="20" t="s">
        <v>32</v>
      </c>
      <c r="I51" s="20" t="s">
        <v>33</v>
      </c>
      <c r="J51" s="20" t="s">
        <v>132</v>
      </c>
      <c r="K51" s="20" t="s">
        <v>1367</v>
      </c>
      <c r="L51" s="23" t="str">
        <f>HYPERLINK("http://slimages.macys.com/is/image/MCY/15118573 ")</f>
        <v xml:space="preserve">http://slimages.macys.com/is/image/MCY/15118573 </v>
      </c>
    </row>
    <row r="52" spans="1:12" ht="39.950000000000003" customHeight="1" x14ac:dyDescent="0.25">
      <c r="A52" s="19" t="s">
        <v>1368</v>
      </c>
      <c r="B52" s="20" t="s">
        <v>1369</v>
      </c>
      <c r="C52" s="21">
        <v>1</v>
      </c>
      <c r="D52" s="22">
        <v>41.99</v>
      </c>
      <c r="E52" s="21">
        <v>10008741300</v>
      </c>
      <c r="F52" s="20" t="s">
        <v>16</v>
      </c>
      <c r="G52" s="19" t="s">
        <v>17</v>
      </c>
      <c r="H52" s="20" t="s">
        <v>119</v>
      </c>
      <c r="I52" s="20" t="s">
        <v>120</v>
      </c>
      <c r="J52" s="20" t="s">
        <v>20</v>
      </c>
      <c r="K52" s="20" t="s">
        <v>1370</v>
      </c>
      <c r="L52" s="23" t="str">
        <f>HYPERLINK("http://slimages.macys.com/is/image/MCY/15951361 ")</f>
        <v xml:space="preserve">http://slimages.macys.com/is/image/MCY/15951361 </v>
      </c>
    </row>
    <row r="53" spans="1:12" ht="39.950000000000003" customHeight="1" x14ac:dyDescent="0.25">
      <c r="A53" s="19" t="s">
        <v>1371</v>
      </c>
      <c r="B53" s="20" t="s">
        <v>1372</v>
      </c>
      <c r="C53" s="21">
        <v>1</v>
      </c>
      <c r="D53" s="22">
        <v>39.99</v>
      </c>
      <c r="E53" s="21">
        <v>4044450</v>
      </c>
      <c r="F53" s="20" t="s">
        <v>289</v>
      </c>
      <c r="G53" s="19" t="s">
        <v>17</v>
      </c>
      <c r="H53" s="20" t="s">
        <v>79</v>
      </c>
      <c r="I53" s="20" t="s">
        <v>1373</v>
      </c>
      <c r="J53" s="20" t="s">
        <v>20</v>
      </c>
      <c r="K53" s="20" t="s">
        <v>1374</v>
      </c>
      <c r="L53" s="23" t="str">
        <f>HYPERLINK("http://slimages.macys.com/is/image/MCY/13392721 ")</f>
        <v xml:space="preserve">http://slimages.macys.com/is/image/MCY/13392721 </v>
      </c>
    </row>
    <row r="54" spans="1:12" ht="39.950000000000003" customHeight="1" x14ac:dyDescent="0.25">
      <c r="A54" s="19" t="s">
        <v>1375</v>
      </c>
      <c r="B54" s="20" t="s">
        <v>1376</v>
      </c>
      <c r="C54" s="21">
        <v>1</v>
      </c>
      <c r="D54" s="22">
        <v>39.99</v>
      </c>
      <c r="E54" s="21" t="s">
        <v>1377</v>
      </c>
      <c r="F54" s="20" t="s">
        <v>1124</v>
      </c>
      <c r="G54" s="19" t="s">
        <v>1378</v>
      </c>
      <c r="H54" s="20" t="s">
        <v>328</v>
      </c>
      <c r="I54" s="20" t="s">
        <v>1379</v>
      </c>
      <c r="J54" s="20" t="s">
        <v>20</v>
      </c>
      <c r="K54" s="20" t="s">
        <v>396</v>
      </c>
      <c r="L54" s="23" t="str">
        <f>HYPERLINK("http://slimages.macys.com/is/image/MCY/12679831 ")</f>
        <v xml:space="preserve">http://slimages.macys.com/is/image/MCY/12679831 </v>
      </c>
    </row>
    <row r="55" spans="1:12" ht="39.950000000000003" customHeight="1" x14ac:dyDescent="0.25">
      <c r="A55" s="19" t="s">
        <v>1380</v>
      </c>
      <c r="B55" s="20" t="s">
        <v>1381</v>
      </c>
      <c r="C55" s="21">
        <v>1</v>
      </c>
      <c r="D55" s="22">
        <v>39.99</v>
      </c>
      <c r="E55" s="21" t="s">
        <v>1382</v>
      </c>
      <c r="F55" s="20" t="s">
        <v>89</v>
      </c>
      <c r="G55" s="19" t="s">
        <v>17</v>
      </c>
      <c r="H55" s="20" t="s">
        <v>79</v>
      </c>
      <c r="I55" s="20" t="s">
        <v>1273</v>
      </c>
      <c r="J55" s="20" t="s">
        <v>20</v>
      </c>
      <c r="K55" s="20" t="s">
        <v>21</v>
      </c>
      <c r="L55" s="23" t="str">
        <f>HYPERLINK("http://slimages.macys.com/is/image/MCY/15340707 ")</f>
        <v xml:space="preserve">http://slimages.macys.com/is/image/MCY/15340707 </v>
      </c>
    </row>
    <row r="56" spans="1:12" ht="39.950000000000003" customHeight="1" x14ac:dyDescent="0.25">
      <c r="A56" s="19" t="s">
        <v>1383</v>
      </c>
      <c r="B56" s="20" t="s">
        <v>1384</v>
      </c>
      <c r="C56" s="21">
        <v>1</v>
      </c>
      <c r="D56" s="22">
        <v>29.99</v>
      </c>
      <c r="E56" s="21">
        <v>25580</v>
      </c>
      <c r="F56" s="20" t="s">
        <v>16</v>
      </c>
      <c r="G56" s="19" t="s">
        <v>17</v>
      </c>
      <c r="H56" s="20" t="s">
        <v>48</v>
      </c>
      <c r="I56" s="20" t="s">
        <v>543</v>
      </c>
      <c r="J56" s="20" t="s">
        <v>20</v>
      </c>
      <c r="K56" s="20" t="s">
        <v>662</v>
      </c>
      <c r="L56" s="23" t="str">
        <f>HYPERLINK("http://slimages.macys.com/is/image/MCY/8728115 ")</f>
        <v xml:space="preserve">http://slimages.macys.com/is/image/MCY/8728115 </v>
      </c>
    </row>
    <row r="57" spans="1:12" ht="39.950000000000003" customHeight="1" x14ac:dyDescent="0.25">
      <c r="A57" s="19" t="s">
        <v>1385</v>
      </c>
      <c r="B57" s="20" t="s">
        <v>1386</v>
      </c>
      <c r="C57" s="21">
        <v>1</v>
      </c>
      <c r="D57" s="22">
        <v>39.99</v>
      </c>
      <c r="E57" s="21" t="s">
        <v>1387</v>
      </c>
      <c r="F57" s="20" t="s">
        <v>16</v>
      </c>
      <c r="G57" s="19" t="s">
        <v>17</v>
      </c>
      <c r="H57" s="20" t="s">
        <v>119</v>
      </c>
      <c r="I57" s="20" t="s">
        <v>120</v>
      </c>
      <c r="J57" s="20" t="s">
        <v>20</v>
      </c>
      <c r="K57" s="20" t="s">
        <v>208</v>
      </c>
      <c r="L57" s="23" t="str">
        <f>HYPERLINK("http://slimages.macys.com/is/image/MCY/8311589 ")</f>
        <v xml:space="preserve">http://slimages.macys.com/is/image/MCY/8311589 </v>
      </c>
    </row>
    <row r="58" spans="1:12" ht="39.950000000000003" customHeight="1" x14ac:dyDescent="0.25">
      <c r="A58" s="19" t="s">
        <v>1388</v>
      </c>
      <c r="B58" s="20" t="s">
        <v>1389</v>
      </c>
      <c r="C58" s="21">
        <v>1</v>
      </c>
      <c r="D58" s="22">
        <v>36.99</v>
      </c>
      <c r="E58" s="21">
        <v>10007255300</v>
      </c>
      <c r="F58" s="20" t="s">
        <v>16</v>
      </c>
      <c r="G58" s="19" t="s">
        <v>17</v>
      </c>
      <c r="H58" s="20" t="s">
        <v>72</v>
      </c>
      <c r="I58" s="20" t="s">
        <v>1390</v>
      </c>
      <c r="J58" s="20" t="s">
        <v>20</v>
      </c>
      <c r="K58" s="20" t="s">
        <v>1391</v>
      </c>
      <c r="L58" s="23" t="str">
        <f>HYPERLINK("http://slimages.macys.com/is/image/MCY/13799718 ")</f>
        <v xml:space="preserve">http://slimages.macys.com/is/image/MCY/13799718 </v>
      </c>
    </row>
    <row r="59" spans="1:12" ht="39.950000000000003" customHeight="1" x14ac:dyDescent="0.25">
      <c r="A59" s="19" t="s">
        <v>1392</v>
      </c>
      <c r="B59" s="20" t="s">
        <v>1393</v>
      </c>
      <c r="C59" s="21">
        <v>1</v>
      </c>
      <c r="D59" s="22">
        <v>32.99</v>
      </c>
      <c r="E59" s="21" t="s">
        <v>1394</v>
      </c>
      <c r="F59" s="20" t="s">
        <v>1321</v>
      </c>
      <c r="G59" s="19" t="s">
        <v>360</v>
      </c>
      <c r="H59" s="20" t="s">
        <v>328</v>
      </c>
      <c r="I59" s="20" t="s">
        <v>1379</v>
      </c>
      <c r="J59" s="20" t="s">
        <v>20</v>
      </c>
      <c r="K59" s="20" t="s">
        <v>330</v>
      </c>
      <c r="L59" s="23" t="str">
        <f>HYPERLINK("http://slimages.macys.com/is/image/MCY/13865931 ")</f>
        <v xml:space="preserve">http://slimages.macys.com/is/image/MCY/13865931 </v>
      </c>
    </row>
    <row r="60" spans="1:12" ht="39.950000000000003" customHeight="1" x14ac:dyDescent="0.25">
      <c r="A60" s="19" t="s">
        <v>1395</v>
      </c>
      <c r="B60" s="20" t="s">
        <v>1396</v>
      </c>
      <c r="C60" s="21">
        <v>5</v>
      </c>
      <c r="D60" s="22">
        <v>149.94999999999999</v>
      </c>
      <c r="E60" s="21">
        <v>1276602</v>
      </c>
      <c r="F60" s="20" t="s">
        <v>16</v>
      </c>
      <c r="G60" s="19" t="s">
        <v>17</v>
      </c>
      <c r="H60" s="20" t="s">
        <v>48</v>
      </c>
      <c r="I60" s="20" t="s">
        <v>1397</v>
      </c>
      <c r="J60" s="20" t="s">
        <v>670</v>
      </c>
      <c r="K60" s="20" t="s">
        <v>67</v>
      </c>
      <c r="L60" s="23" t="str">
        <f>HYPERLINK("http://slimages.macys.com/is/image/MCY/15797493 ")</f>
        <v xml:space="preserve">http://slimages.macys.com/is/image/MCY/15797493 </v>
      </c>
    </row>
    <row r="61" spans="1:12" ht="39.950000000000003" customHeight="1" x14ac:dyDescent="0.25">
      <c r="A61" s="19" t="s">
        <v>1398</v>
      </c>
      <c r="B61" s="20" t="s">
        <v>1399</v>
      </c>
      <c r="C61" s="21">
        <v>1</v>
      </c>
      <c r="D61" s="22">
        <v>21.99</v>
      </c>
      <c r="E61" s="21" t="s">
        <v>1400</v>
      </c>
      <c r="F61" s="20" t="s">
        <v>131</v>
      </c>
      <c r="G61" s="19" t="s">
        <v>17</v>
      </c>
      <c r="H61" s="20" t="s">
        <v>79</v>
      </c>
      <c r="I61" s="20" t="s">
        <v>1401</v>
      </c>
      <c r="J61" s="20" t="s">
        <v>20</v>
      </c>
      <c r="K61" s="20" t="s">
        <v>1402</v>
      </c>
      <c r="L61" s="23" t="str">
        <f>HYPERLINK("http://slimages.macys.com/is/image/MCY/12483616 ")</f>
        <v xml:space="preserve">http://slimages.macys.com/is/image/MCY/12483616 </v>
      </c>
    </row>
    <row r="62" spans="1:12" ht="39.950000000000003" customHeight="1" x14ac:dyDescent="0.25">
      <c r="A62" s="19" t="s">
        <v>1403</v>
      </c>
      <c r="B62" s="20" t="s">
        <v>1404</v>
      </c>
      <c r="C62" s="21">
        <v>1</v>
      </c>
      <c r="D62" s="22">
        <v>20.99</v>
      </c>
      <c r="E62" s="21" t="s">
        <v>1405</v>
      </c>
      <c r="F62" s="20" t="s">
        <v>289</v>
      </c>
      <c r="G62" s="19" t="s">
        <v>17</v>
      </c>
      <c r="H62" s="20" t="s">
        <v>79</v>
      </c>
      <c r="I62" s="20" t="s">
        <v>1406</v>
      </c>
      <c r="J62" s="20" t="s">
        <v>110</v>
      </c>
      <c r="K62" s="20" t="s">
        <v>1374</v>
      </c>
      <c r="L62" s="23" t="str">
        <f>HYPERLINK("http://slimages.macys.com/is/image/MCY/12783169 ")</f>
        <v xml:space="preserve">http://slimages.macys.com/is/image/MCY/12783169 </v>
      </c>
    </row>
    <row r="63" spans="1:12" ht="39.950000000000003" customHeight="1" x14ac:dyDescent="0.25">
      <c r="A63" s="19" t="s">
        <v>1407</v>
      </c>
      <c r="B63" s="20" t="s">
        <v>1408</v>
      </c>
      <c r="C63" s="21">
        <v>1</v>
      </c>
      <c r="D63" s="22">
        <v>19</v>
      </c>
      <c r="E63" s="21" t="s">
        <v>1409</v>
      </c>
      <c r="F63" s="20" t="s">
        <v>89</v>
      </c>
      <c r="G63" s="19" t="s">
        <v>269</v>
      </c>
      <c r="H63" s="20" t="s">
        <v>41</v>
      </c>
      <c r="I63" s="20" t="s">
        <v>244</v>
      </c>
      <c r="J63" s="20"/>
      <c r="K63" s="20" t="s">
        <v>21</v>
      </c>
      <c r="L63" s="23" t="str">
        <f>HYPERLINK("http://slimages.macys.com/is/image/MCY/1860535 ")</f>
        <v xml:space="preserve">http://slimages.macys.com/is/image/MCY/1860535 </v>
      </c>
    </row>
    <row r="64" spans="1:12" ht="39.950000000000003" customHeight="1" x14ac:dyDescent="0.25">
      <c r="A64" s="19" t="s">
        <v>1410</v>
      </c>
      <c r="B64" s="20" t="s">
        <v>1411</v>
      </c>
      <c r="C64" s="21">
        <v>1</v>
      </c>
      <c r="D64" s="22">
        <v>24.99</v>
      </c>
      <c r="E64" s="21" t="s">
        <v>1412</v>
      </c>
      <c r="F64" s="20" t="s">
        <v>16</v>
      </c>
      <c r="G64" s="19" t="s">
        <v>17</v>
      </c>
      <c r="H64" s="20" t="s">
        <v>119</v>
      </c>
      <c r="I64" s="20" t="s">
        <v>188</v>
      </c>
      <c r="J64" s="20" t="s">
        <v>20</v>
      </c>
      <c r="K64" s="20" t="s">
        <v>67</v>
      </c>
      <c r="L64" s="23" t="str">
        <f>HYPERLINK("http://slimages.macys.com/is/image/MCY/9279750 ")</f>
        <v xml:space="preserve">http://slimages.macys.com/is/image/MCY/9279750 </v>
      </c>
    </row>
    <row r="65" spans="1:12" ht="39.950000000000003" customHeight="1" x14ac:dyDescent="0.25">
      <c r="A65" s="19" t="s">
        <v>1413</v>
      </c>
      <c r="B65" s="20" t="s">
        <v>1414</v>
      </c>
      <c r="C65" s="21">
        <v>5</v>
      </c>
      <c r="D65" s="22">
        <v>74.95</v>
      </c>
      <c r="E65" s="21" t="s">
        <v>1415</v>
      </c>
      <c r="F65" s="20" t="s">
        <v>89</v>
      </c>
      <c r="G65" s="19" t="s">
        <v>184</v>
      </c>
      <c r="H65" s="20" t="s">
        <v>41</v>
      </c>
      <c r="I65" s="20" t="s">
        <v>103</v>
      </c>
      <c r="J65" s="20" t="s">
        <v>20</v>
      </c>
      <c r="K65" s="20" t="s">
        <v>21</v>
      </c>
      <c r="L65" s="23" t="str">
        <f>HYPERLINK("http://slimages.macys.com/is/image/MCY/12404049 ")</f>
        <v xml:space="preserve">http://slimages.macys.com/is/image/MCY/12404049 </v>
      </c>
    </row>
    <row r="66" spans="1:12" ht="39.950000000000003" customHeight="1" x14ac:dyDescent="0.25">
      <c r="A66" s="19" t="s">
        <v>1416</v>
      </c>
      <c r="B66" s="20" t="s">
        <v>1417</v>
      </c>
      <c r="C66" s="21">
        <v>7</v>
      </c>
      <c r="D66" s="22">
        <v>105</v>
      </c>
      <c r="E66" s="21">
        <v>1320378</v>
      </c>
      <c r="F66" s="20" t="s">
        <v>16</v>
      </c>
      <c r="G66" s="19" t="s">
        <v>1418</v>
      </c>
      <c r="H66" s="20" t="s">
        <v>85</v>
      </c>
      <c r="I66" s="20" t="s">
        <v>479</v>
      </c>
      <c r="J66" s="20"/>
      <c r="K66" s="20"/>
      <c r="L66" s="23" t="str">
        <f>HYPERLINK("http://slimages.macys.com/is/image/MCY/1837635 ")</f>
        <v xml:space="preserve">http://slimages.macys.com/is/image/MCY/1837635 </v>
      </c>
    </row>
    <row r="67" spans="1:12" ht="39.950000000000003" customHeight="1" x14ac:dyDescent="0.25">
      <c r="A67" s="19" t="s">
        <v>1419</v>
      </c>
      <c r="B67" s="20" t="s">
        <v>1420</v>
      </c>
      <c r="C67" s="21">
        <v>1</v>
      </c>
      <c r="D67" s="22">
        <v>14.99</v>
      </c>
      <c r="E67" s="21">
        <v>1320390</v>
      </c>
      <c r="F67" s="20" t="s">
        <v>54</v>
      </c>
      <c r="G67" s="19" t="s">
        <v>1418</v>
      </c>
      <c r="H67" s="20" t="s">
        <v>85</v>
      </c>
      <c r="I67" s="20" t="s">
        <v>479</v>
      </c>
      <c r="J67" s="20" t="s">
        <v>20</v>
      </c>
      <c r="K67" s="20" t="s">
        <v>521</v>
      </c>
      <c r="L67" s="23" t="str">
        <f>HYPERLINK("http://slimages.macys.com/is/image/MCY/9866250 ")</f>
        <v xml:space="preserve">http://slimages.macys.com/is/image/MCY/9866250 </v>
      </c>
    </row>
    <row r="68" spans="1:12" ht="39.950000000000003" customHeight="1" x14ac:dyDescent="0.25">
      <c r="A68" s="19" t="s">
        <v>1421</v>
      </c>
      <c r="B68" s="20" t="s">
        <v>1422</v>
      </c>
      <c r="C68" s="21">
        <v>1</v>
      </c>
      <c r="D68" s="22">
        <v>18.989999999999998</v>
      </c>
      <c r="E68" s="21" t="s">
        <v>1423</v>
      </c>
      <c r="F68" s="20" t="s">
        <v>78</v>
      </c>
      <c r="G68" s="19"/>
      <c r="H68" s="20" t="s">
        <v>328</v>
      </c>
      <c r="I68" s="20" t="s">
        <v>1379</v>
      </c>
      <c r="J68" s="20"/>
      <c r="K68" s="20"/>
      <c r="L68" s="23" t="str">
        <f>HYPERLINK("http://slimages.macys.com/is/image/MCY/16808524 ")</f>
        <v xml:space="preserve">http://slimages.macys.com/is/image/MCY/16808524 </v>
      </c>
    </row>
    <row r="69" spans="1:12" ht="39.950000000000003" customHeight="1" x14ac:dyDescent="0.25">
      <c r="A69" s="19" t="s">
        <v>1424</v>
      </c>
      <c r="B69" s="20" t="s">
        <v>615</v>
      </c>
      <c r="C69" s="21">
        <v>1</v>
      </c>
      <c r="D69" s="22">
        <v>14.99</v>
      </c>
      <c r="E69" s="21" t="s">
        <v>1425</v>
      </c>
      <c r="F69" s="20" t="s">
        <v>89</v>
      </c>
      <c r="G69" s="19" t="s">
        <v>17</v>
      </c>
      <c r="H69" s="20" t="s">
        <v>41</v>
      </c>
      <c r="I69" s="20" t="s">
        <v>103</v>
      </c>
      <c r="J69" s="20" t="s">
        <v>20</v>
      </c>
      <c r="K69" s="20" t="s">
        <v>21</v>
      </c>
      <c r="L69" s="23" t="str">
        <f>HYPERLINK("http://slimages.macys.com/is/image/MCY/16404570 ")</f>
        <v xml:space="preserve">http://slimages.macys.com/is/image/MCY/16404570 </v>
      </c>
    </row>
    <row r="70" spans="1:12" ht="39.950000000000003" customHeight="1" x14ac:dyDescent="0.25">
      <c r="A70" s="19" t="s">
        <v>617</v>
      </c>
      <c r="B70" s="20" t="s">
        <v>618</v>
      </c>
      <c r="C70" s="21">
        <v>1</v>
      </c>
      <c r="D70" s="22">
        <v>19.989999999999998</v>
      </c>
      <c r="E70" s="21" t="s">
        <v>1426</v>
      </c>
      <c r="F70" s="20" t="s">
        <v>78</v>
      </c>
      <c r="G70" s="19"/>
      <c r="H70" s="20" t="s">
        <v>328</v>
      </c>
      <c r="I70" s="20" t="s">
        <v>620</v>
      </c>
      <c r="J70" s="20" t="s">
        <v>20</v>
      </c>
      <c r="K70" s="20" t="s">
        <v>396</v>
      </c>
      <c r="L70" s="23" t="str">
        <f>HYPERLINK("http://slimages.macys.com/is/image/MCY/3282196 ")</f>
        <v xml:space="preserve">http://slimages.macys.com/is/image/MCY/3282196 </v>
      </c>
    </row>
    <row r="71" spans="1:12" ht="39.950000000000003" customHeight="1" x14ac:dyDescent="0.25">
      <c r="A71" s="19" t="s">
        <v>1427</v>
      </c>
      <c r="B71" s="20" t="s">
        <v>1428</v>
      </c>
      <c r="C71" s="21">
        <v>1</v>
      </c>
      <c r="D71" s="22">
        <v>14.99</v>
      </c>
      <c r="E71" s="21" t="s">
        <v>1429</v>
      </c>
      <c r="F71" s="20" t="s">
        <v>349</v>
      </c>
      <c r="G71" s="19" t="s">
        <v>269</v>
      </c>
      <c r="H71" s="20" t="s">
        <v>48</v>
      </c>
      <c r="I71" s="20" t="s">
        <v>207</v>
      </c>
      <c r="J71" s="20"/>
      <c r="K71" s="20"/>
      <c r="L71" s="23" t="str">
        <f>HYPERLINK("http://slimages.macys.com/is/image/MCY/18819135 ")</f>
        <v xml:space="preserve">http://slimages.macys.com/is/image/MCY/18819135 </v>
      </c>
    </row>
    <row r="72" spans="1:12" ht="39.950000000000003" customHeight="1" x14ac:dyDescent="0.25">
      <c r="A72" s="19" t="s">
        <v>1430</v>
      </c>
      <c r="B72" s="20" t="s">
        <v>1431</v>
      </c>
      <c r="C72" s="21">
        <v>2</v>
      </c>
      <c r="D72" s="22">
        <v>39.979999999999997</v>
      </c>
      <c r="E72" s="21" t="s">
        <v>1432</v>
      </c>
      <c r="F72" s="20" t="s">
        <v>16</v>
      </c>
      <c r="G72" s="19" t="s">
        <v>17</v>
      </c>
      <c r="H72" s="20" t="s">
        <v>48</v>
      </c>
      <c r="I72" s="20" t="s">
        <v>303</v>
      </c>
      <c r="J72" s="20" t="s">
        <v>110</v>
      </c>
      <c r="K72" s="20" t="s">
        <v>1433</v>
      </c>
      <c r="L72" s="23" t="str">
        <f>HYPERLINK("http://slimages.macys.com/is/image/MCY/8337920 ")</f>
        <v xml:space="preserve">http://slimages.macys.com/is/image/MCY/8337920 </v>
      </c>
    </row>
    <row r="73" spans="1:12" ht="39.950000000000003" customHeight="1" x14ac:dyDescent="0.25">
      <c r="A73" s="19" t="s">
        <v>1434</v>
      </c>
      <c r="B73" s="20" t="s">
        <v>1435</v>
      </c>
      <c r="C73" s="21">
        <v>1</v>
      </c>
      <c r="D73" s="22">
        <v>12.99</v>
      </c>
      <c r="E73" s="21">
        <v>1700635</v>
      </c>
      <c r="F73" s="20" t="s">
        <v>89</v>
      </c>
      <c r="G73" s="19" t="s">
        <v>269</v>
      </c>
      <c r="H73" s="20" t="s">
        <v>41</v>
      </c>
      <c r="I73" s="20" t="s">
        <v>471</v>
      </c>
      <c r="J73" s="20" t="s">
        <v>20</v>
      </c>
      <c r="K73" s="20" t="s">
        <v>197</v>
      </c>
      <c r="L73" s="23" t="str">
        <f>HYPERLINK("http://slimages.macys.com/is/image/MCY/15273369 ")</f>
        <v xml:space="preserve">http://slimages.macys.com/is/image/MCY/15273369 </v>
      </c>
    </row>
    <row r="74" spans="1:12" ht="39.950000000000003" customHeight="1" x14ac:dyDescent="0.25">
      <c r="A74" s="19" t="s">
        <v>1436</v>
      </c>
      <c r="B74" s="20" t="s">
        <v>1437</v>
      </c>
      <c r="C74" s="21">
        <v>1</v>
      </c>
      <c r="D74" s="22">
        <v>14.99</v>
      </c>
      <c r="E74" s="21">
        <v>25670</v>
      </c>
      <c r="F74" s="20"/>
      <c r="G74" s="19" t="s">
        <v>102</v>
      </c>
      <c r="H74" s="20" t="s">
        <v>48</v>
      </c>
      <c r="I74" s="20" t="s">
        <v>543</v>
      </c>
      <c r="J74" s="20" t="s">
        <v>20</v>
      </c>
      <c r="K74" s="20" t="s">
        <v>1438</v>
      </c>
      <c r="L74" s="23" t="str">
        <f>HYPERLINK("http://slimages.macys.com/is/image/MCY/11537278 ")</f>
        <v xml:space="preserve">http://slimages.macys.com/is/image/MCY/11537278 </v>
      </c>
    </row>
    <row r="75" spans="1:12" ht="39.950000000000003" customHeight="1" x14ac:dyDescent="0.25">
      <c r="A75" s="19" t="s">
        <v>1439</v>
      </c>
      <c r="B75" s="20" t="s">
        <v>1440</v>
      </c>
      <c r="C75" s="21">
        <v>2</v>
      </c>
      <c r="D75" s="22">
        <v>19.98</v>
      </c>
      <c r="E75" s="21" t="s">
        <v>1441</v>
      </c>
      <c r="F75" s="20" t="s">
        <v>16</v>
      </c>
      <c r="G75" s="19" t="s">
        <v>269</v>
      </c>
      <c r="H75" s="20" t="s">
        <v>41</v>
      </c>
      <c r="I75" s="20" t="s">
        <v>1208</v>
      </c>
      <c r="J75" s="20"/>
      <c r="K75" s="20" t="s">
        <v>98</v>
      </c>
      <c r="L75" s="23" t="str">
        <f>HYPERLINK("http://slimages.macys.com/is/image/MCY/273287 ")</f>
        <v xml:space="preserve">http://slimages.macys.com/is/image/MCY/273287 </v>
      </c>
    </row>
    <row r="76" spans="1:12" ht="39.950000000000003" customHeight="1" x14ac:dyDescent="0.25">
      <c r="A76" s="19" t="s">
        <v>1442</v>
      </c>
      <c r="B76" s="20" t="s">
        <v>1443</v>
      </c>
      <c r="C76" s="21">
        <v>1</v>
      </c>
      <c r="D76" s="22">
        <v>17</v>
      </c>
      <c r="E76" s="21">
        <v>21143</v>
      </c>
      <c r="F76" s="20" t="s">
        <v>54</v>
      </c>
      <c r="G76" s="19" t="s">
        <v>17</v>
      </c>
      <c r="H76" s="20" t="s">
        <v>32</v>
      </c>
      <c r="I76" s="20" t="s">
        <v>647</v>
      </c>
      <c r="J76" s="20" t="s">
        <v>20</v>
      </c>
      <c r="K76" s="20" t="s">
        <v>1444</v>
      </c>
      <c r="L76" s="23" t="str">
        <f>HYPERLINK("http://slimages.macys.com/is/image/MCY/13119580 ")</f>
        <v xml:space="preserve">http://slimages.macys.com/is/image/MCY/13119580 </v>
      </c>
    </row>
    <row r="77" spans="1:12" ht="39.950000000000003" customHeight="1" x14ac:dyDescent="0.25">
      <c r="A77" s="19" t="s">
        <v>1445</v>
      </c>
      <c r="B77" s="20" t="s">
        <v>1446</v>
      </c>
      <c r="C77" s="21">
        <v>1</v>
      </c>
      <c r="D77" s="22">
        <v>7.99</v>
      </c>
      <c r="E77" s="21">
        <v>14856</v>
      </c>
      <c r="F77" s="20"/>
      <c r="G77" s="19"/>
      <c r="H77" s="20" t="s">
        <v>32</v>
      </c>
      <c r="I77" s="20" t="s">
        <v>543</v>
      </c>
      <c r="J77" s="20" t="s">
        <v>20</v>
      </c>
      <c r="K77" s="20" t="s">
        <v>27</v>
      </c>
      <c r="L77" s="23" t="str">
        <f>HYPERLINK("http://slimages.macys.com/is/image/MCY/12684376 ")</f>
        <v xml:space="preserve">http://slimages.macys.com/is/image/MCY/12684376 </v>
      </c>
    </row>
    <row r="78" spans="1:12" ht="39.950000000000003" customHeight="1" x14ac:dyDescent="0.25">
      <c r="A78" s="19" t="s">
        <v>1447</v>
      </c>
      <c r="B78" s="20" t="s">
        <v>1448</v>
      </c>
      <c r="C78" s="21">
        <v>1</v>
      </c>
      <c r="D78" s="22">
        <v>5.99</v>
      </c>
      <c r="E78" s="21" t="s">
        <v>1449</v>
      </c>
      <c r="F78" s="20" t="s">
        <v>78</v>
      </c>
      <c r="G78" s="19" t="s">
        <v>679</v>
      </c>
      <c r="H78" s="20" t="s">
        <v>328</v>
      </c>
      <c r="I78" s="20" t="s">
        <v>620</v>
      </c>
      <c r="J78" s="20" t="s">
        <v>20</v>
      </c>
      <c r="K78" s="20" t="s">
        <v>396</v>
      </c>
      <c r="L78" s="23" t="str">
        <f>HYPERLINK("http://slimages.macys.com/is/image/MCY/3282198 ")</f>
        <v xml:space="preserve">http://slimages.macys.com/is/image/MCY/3282198 </v>
      </c>
    </row>
    <row r="79" spans="1:12" ht="39.950000000000003" customHeight="1" x14ac:dyDescent="0.25">
      <c r="A79" s="19" t="s">
        <v>1450</v>
      </c>
      <c r="B79" s="20" t="s">
        <v>1448</v>
      </c>
      <c r="C79" s="21">
        <v>3</v>
      </c>
      <c r="D79" s="22">
        <v>17.97</v>
      </c>
      <c r="E79" s="21" t="s">
        <v>1451</v>
      </c>
      <c r="F79" s="20" t="s">
        <v>78</v>
      </c>
      <c r="G79" s="19"/>
      <c r="H79" s="20" t="s">
        <v>328</v>
      </c>
      <c r="I79" s="20" t="s">
        <v>620</v>
      </c>
      <c r="J79" s="20" t="s">
        <v>20</v>
      </c>
      <c r="K79" s="20" t="s">
        <v>396</v>
      </c>
      <c r="L79" s="23" t="str">
        <f>HYPERLINK("http://slimages.macys.com/is/image/MCY/3282198 ")</f>
        <v xml:space="preserve">http://slimages.macys.com/is/image/MCY/3282198 </v>
      </c>
    </row>
    <row r="80" spans="1:12" ht="39.950000000000003" customHeight="1" x14ac:dyDescent="0.25">
      <c r="A80" s="19" t="s">
        <v>1452</v>
      </c>
      <c r="B80" s="20" t="s">
        <v>1453</v>
      </c>
      <c r="C80" s="21">
        <v>1</v>
      </c>
      <c r="D80" s="22">
        <v>185.99</v>
      </c>
      <c r="E80" s="21" t="s">
        <v>1454</v>
      </c>
      <c r="F80" s="20" t="s">
        <v>78</v>
      </c>
      <c r="G80" s="19" t="s">
        <v>17</v>
      </c>
      <c r="H80" s="20" t="s">
        <v>79</v>
      </c>
      <c r="I80" s="20" t="s">
        <v>1278</v>
      </c>
      <c r="J80" s="20"/>
      <c r="K80" s="20"/>
      <c r="L80" s="23"/>
    </row>
    <row r="81" spans="1:12" ht="39.950000000000003" customHeight="1" x14ac:dyDescent="0.25">
      <c r="A81" s="19" t="s">
        <v>1455</v>
      </c>
      <c r="B81" s="20" t="s">
        <v>1456</v>
      </c>
      <c r="C81" s="21">
        <v>1</v>
      </c>
      <c r="D81" s="22">
        <v>83.99</v>
      </c>
      <c r="E81" s="21" t="s">
        <v>1457</v>
      </c>
      <c r="F81" s="20" t="s">
        <v>159</v>
      </c>
      <c r="G81" s="19" t="s">
        <v>17</v>
      </c>
      <c r="H81" s="20" t="s">
        <v>85</v>
      </c>
      <c r="I81" s="20" t="s">
        <v>1458</v>
      </c>
      <c r="J81" s="20"/>
      <c r="K81" s="20"/>
      <c r="L81" s="23"/>
    </row>
    <row r="82" spans="1:12" ht="39.950000000000003" customHeight="1" x14ac:dyDescent="0.25">
      <c r="A82" s="19" t="s">
        <v>1459</v>
      </c>
      <c r="B82" s="20" t="s">
        <v>1460</v>
      </c>
      <c r="C82" s="21">
        <v>1</v>
      </c>
      <c r="D82" s="22">
        <v>69.989999999999995</v>
      </c>
      <c r="E82" s="21">
        <v>5267392</v>
      </c>
      <c r="F82" s="20" t="s">
        <v>89</v>
      </c>
      <c r="G82" s="19" t="s">
        <v>467</v>
      </c>
      <c r="H82" s="20" t="s">
        <v>41</v>
      </c>
      <c r="I82" s="20" t="s">
        <v>384</v>
      </c>
      <c r="J82" s="20"/>
      <c r="K82" s="20"/>
      <c r="L82" s="23"/>
    </row>
    <row r="83" spans="1:12" ht="39.950000000000003" customHeight="1" x14ac:dyDescent="0.25">
      <c r="A83" s="19" t="s">
        <v>1461</v>
      </c>
      <c r="B83" s="20" t="s">
        <v>1462</v>
      </c>
      <c r="C83" s="21">
        <v>1</v>
      </c>
      <c r="D83" s="22">
        <v>71.989999999999995</v>
      </c>
      <c r="E83" s="21" t="s">
        <v>1463</v>
      </c>
      <c r="F83" s="20" t="s">
        <v>89</v>
      </c>
      <c r="G83" s="19" t="s">
        <v>17</v>
      </c>
      <c r="H83" s="20" t="s">
        <v>32</v>
      </c>
      <c r="I83" s="20" t="s">
        <v>1464</v>
      </c>
      <c r="J83" s="20"/>
      <c r="K83" s="20"/>
      <c r="L83" s="23"/>
    </row>
    <row r="84" spans="1:12" ht="39.950000000000003" customHeight="1" x14ac:dyDescent="0.25">
      <c r="A84" s="19" t="s">
        <v>1465</v>
      </c>
      <c r="B84" s="20" t="s">
        <v>1466</v>
      </c>
      <c r="C84" s="21">
        <v>1</v>
      </c>
      <c r="D84" s="22">
        <v>71.989999999999995</v>
      </c>
      <c r="E84" s="21" t="s">
        <v>1467</v>
      </c>
      <c r="F84" s="20" t="s">
        <v>89</v>
      </c>
      <c r="G84" s="19" t="s">
        <v>17</v>
      </c>
      <c r="H84" s="20" t="s">
        <v>32</v>
      </c>
      <c r="I84" s="20" t="s">
        <v>1464</v>
      </c>
      <c r="J84" s="20"/>
      <c r="K84" s="20"/>
      <c r="L84" s="23"/>
    </row>
    <row r="85" spans="1:12" ht="39.950000000000003" customHeight="1" x14ac:dyDescent="0.25">
      <c r="A85" s="19" t="s">
        <v>1468</v>
      </c>
      <c r="B85" s="20" t="s">
        <v>1469</v>
      </c>
      <c r="C85" s="21">
        <v>1</v>
      </c>
      <c r="D85" s="22">
        <v>71.989999999999995</v>
      </c>
      <c r="E85" s="21" t="s">
        <v>1470</v>
      </c>
      <c r="F85" s="20" t="s">
        <v>89</v>
      </c>
      <c r="G85" s="19" t="s">
        <v>17</v>
      </c>
      <c r="H85" s="20" t="s">
        <v>32</v>
      </c>
      <c r="I85" s="20" t="s">
        <v>1464</v>
      </c>
      <c r="J85" s="20"/>
      <c r="K85" s="20"/>
      <c r="L85" s="23"/>
    </row>
    <row r="86" spans="1:12" ht="39.950000000000003" customHeight="1" x14ac:dyDescent="0.25">
      <c r="A86" s="19" t="s">
        <v>1471</v>
      </c>
      <c r="B86" s="20" t="s">
        <v>1472</v>
      </c>
      <c r="C86" s="21">
        <v>2</v>
      </c>
      <c r="D86" s="22">
        <v>96</v>
      </c>
      <c r="E86" s="21" t="s">
        <v>1473</v>
      </c>
      <c r="F86" s="20" t="s">
        <v>89</v>
      </c>
      <c r="G86" s="19" t="s">
        <v>17</v>
      </c>
      <c r="H86" s="20" t="s">
        <v>48</v>
      </c>
      <c r="I86" s="20" t="s">
        <v>1474</v>
      </c>
      <c r="J86" s="20"/>
      <c r="K86" s="20"/>
      <c r="L86" s="23"/>
    </row>
    <row r="87" spans="1:12" ht="39.950000000000003" customHeight="1" x14ac:dyDescent="0.25">
      <c r="A87" s="19" t="s">
        <v>1475</v>
      </c>
      <c r="B87" s="20" t="s">
        <v>1476</v>
      </c>
      <c r="C87" s="21">
        <v>1</v>
      </c>
      <c r="D87" s="22">
        <v>51.99</v>
      </c>
      <c r="E87" s="21" t="s">
        <v>1477</v>
      </c>
      <c r="F87" s="20" t="s">
        <v>16</v>
      </c>
      <c r="G87" s="19" t="s">
        <v>17</v>
      </c>
      <c r="H87" s="20" t="s">
        <v>328</v>
      </c>
      <c r="I87" s="20" t="s">
        <v>1379</v>
      </c>
      <c r="J87" s="20"/>
      <c r="K87" s="20"/>
      <c r="L87" s="23"/>
    </row>
    <row r="88" spans="1:12" ht="39.950000000000003" customHeight="1" x14ac:dyDescent="0.25">
      <c r="A88" s="19" t="s">
        <v>693</v>
      </c>
      <c r="B88" s="20" t="s">
        <v>694</v>
      </c>
      <c r="C88" s="21">
        <v>7</v>
      </c>
      <c r="D88" s="22">
        <v>217</v>
      </c>
      <c r="E88" s="21"/>
      <c r="F88" s="20" t="s">
        <v>16</v>
      </c>
      <c r="G88" s="19" t="s">
        <v>17</v>
      </c>
      <c r="H88" s="20" t="s">
        <v>695</v>
      </c>
      <c r="I88" s="20" t="s">
        <v>696</v>
      </c>
      <c r="J88" s="20"/>
      <c r="K88" s="20"/>
      <c r="L88" s="23"/>
    </row>
    <row r="89" spans="1:12" ht="39.950000000000003" customHeight="1" x14ac:dyDescent="0.25">
      <c r="A89" s="19" t="s">
        <v>1478</v>
      </c>
      <c r="B89" s="20" t="s">
        <v>1479</v>
      </c>
      <c r="C89" s="21">
        <v>1</v>
      </c>
      <c r="D89" s="22">
        <v>26.99</v>
      </c>
      <c r="E89" s="21">
        <v>103621</v>
      </c>
      <c r="F89" s="20" t="s">
        <v>566</v>
      </c>
      <c r="G89" s="19"/>
      <c r="H89" s="20" t="s">
        <v>328</v>
      </c>
      <c r="I89" s="20" t="s">
        <v>879</v>
      </c>
      <c r="J89" s="20"/>
      <c r="K89" s="20"/>
      <c r="L89" s="23"/>
    </row>
    <row r="90" spans="1:12" ht="39.950000000000003" customHeight="1" x14ac:dyDescent="0.25">
      <c r="A90" s="19" t="s">
        <v>1480</v>
      </c>
      <c r="B90" s="20" t="s">
        <v>1481</v>
      </c>
      <c r="C90" s="21">
        <v>1</v>
      </c>
      <c r="D90" s="22">
        <v>16.989999999999998</v>
      </c>
      <c r="E90" s="21">
        <v>11757</v>
      </c>
      <c r="F90" s="20" t="s">
        <v>483</v>
      </c>
      <c r="G90" s="19" t="s">
        <v>17</v>
      </c>
      <c r="H90" s="20" t="s">
        <v>79</v>
      </c>
      <c r="I90" s="20" t="s">
        <v>1482</v>
      </c>
      <c r="J90" s="20"/>
      <c r="K90" s="20"/>
      <c r="L90" s="23"/>
    </row>
    <row r="91" spans="1:12" ht="39.950000000000003" customHeight="1" x14ac:dyDescent="0.25">
      <c r="C91" s="26">
        <f>SUM(C2:C90)</f>
        <v>121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4"/>
  <sheetViews>
    <sheetView workbookViewId="0">
      <selection activeCell="I6" sqref="I6"/>
    </sheetView>
  </sheetViews>
  <sheetFormatPr defaultRowHeight="39.950000000000003" customHeight="1" x14ac:dyDescent="0.25"/>
  <cols>
    <col min="1" max="1" width="13.140625" style="24" bestFit="1" customWidth="1"/>
    <col min="2" max="2" width="30" style="24" customWidth="1"/>
    <col min="3" max="3" width="12.42578125" style="24" bestFit="1" customWidth="1"/>
    <col min="4" max="4" width="8.7109375" style="24" bestFit="1" customWidth="1"/>
    <col min="5" max="5" width="16.5703125" style="24" customWidth="1"/>
    <col min="6" max="6" width="11.28515625" style="24" bestFit="1" customWidth="1"/>
    <col min="7" max="7" width="10.85546875" style="24" customWidth="1"/>
    <col min="8" max="8" width="12.140625" style="24" customWidth="1"/>
    <col min="9" max="9" width="36.42578125" style="24" bestFit="1" customWidth="1"/>
    <col min="10" max="10" width="17.7109375" style="24" bestFit="1" customWidth="1"/>
    <col min="11" max="11" width="34.7109375" style="24" bestFit="1" customWidth="1"/>
    <col min="12" max="12" width="21.42578125" style="24" bestFit="1" customWidth="1"/>
    <col min="13" max="16384" width="9.140625" style="24"/>
  </cols>
  <sheetData>
    <row r="1" spans="1:12" ht="39.950000000000003" customHeight="1" x14ac:dyDescent="0.25">
      <c r="A1" s="18" t="s">
        <v>2</v>
      </c>
      <c r="B1" s="18" t="s">
        <v>3</v>
      </c>
      <c r="C1" s="18" t="s">
        <v>4</v>
      </c>
      <c r="D1" s="18" t="s">
        <v>5</v>
      </c>
      <c r="E1" s="18" t="s">
        <v>6</v>
      </c>
      <c r="F1" s="18" t="s">
        <v>7</v>
      </c>
      <c r="G1" s="18" t="s">
        <v>8</v>
      </c>
      <c r="H1" s="18" t="s">
        <v>9</v>
      </c>
      <c r="I1" s="18" t="s">
        <v>10</v>
      </c>
      <c r="J1" s="18" t="s">
        <v>11</v>
      </c>
      <c r="K1" s="18" t="s">
        <v>12</v>
      </c>
      <c r="L1" s="18" t="s">
        <v>13</v>
      </c>
    </row>
    <row r="2" spans="1:12" ht="39.950000000000003" customHeight="1" x14ac:dyDescent="0.25">
      <c r="A2" s="19" t="s">
        <v>697</v>
      </c>
      <c r="B2" s="20" t="s">
        <v>698</v>
      </c>
      <c r="C2" s="21">
        <v>1</v>
      </c>
      <c r="D2" s="22">
        <v>329.99</v>
      </c>
      <c r="E2" s="21" t="s">
        <v>699</v>
      </c>
      <c r="F2" s="20" t="s">
        <v>555</v>
      </c>
      <c r="G2" s="19"/>
      <c r="H2" s="20" t="s">
        <v>700</v>
      </c>
      <c r="I2" s="20" t="s">
        <v>701</v>
      </c>
      <c r="J2" s="20" t="s">
        <v>702</v>
      </c>
      <c r="K2" s="20" t="s">
        <v>703</v>
      </c>
      <c r="L2" s="23" t="str">
        <f>HYPERLINK("http://images.bloomingdales.com/is/image/BLM/10806981 ")</f>
        <v xml:space="preserve">http://images.bloomingdales.com/is/image/BLM/10806981 </v>
      </c>
    </row>
    <row r="3" spans="1:12" ht="39.950000000000003" customHeight="1" x14ac:dyDescent="0.25">
      <c r="A3" s="19" t="s">
        <v>704</v>
      </c>
      <c r="B3" s="20" t="s">
        <v>705</v>
      </c>
      <c r="C3" s="21">
        <v>1</v>
      </c>
      <c r="D3" s="22">
        <v>279.99</v>
      </c>
      <c r="E3" s="21" t="s">
        <v>706</v>
      </c>
      <c r="F3" s="20" t="s">
        <v>483</v>
      </c>
      <c r="G3" s="19"/>
      <c r="H3" s="20" t="s">
        <v>707</v>
      </c>
      <c r="I3" s="20" t="s">
        <v>708</v>
      </c>
      <c r="J3" s="20" t="s">
        <v>20</v>
      </c>
      <c r="K3" s="20" t="s">
        <v>330</v>
      </c>
      <c r="L3" s="23" t="str">
        <f>HYPERLINK("http://slimages.macys.com/is/image/MCY/14788488 ")</f>
        <v xml:space="preserve">http://slimages.macys.com/is/image/MCY/14788488 </v>
      </c>
    </row>
    <row r="4" spans="1:12" ht="39.950000000000003" customHeight="1" x14ac:dyDescent="0.25">
      <c r="A4" s="19" t="s">
        <v>709</v>
      </c>
      <c r="B4" s="20" t="s">
        <v>710</v>
      </c>
      <c r="C4" s="21">
        <v>1</v>
      </c>
      <c r="D4" s="22">
        <v>179.99</v>
      </c>
      <c r="E4" s="21" t="s">
        <v>711</v>
      </c>
      <c r="F4" s="20" t="s">
        <v>349</v>
      </c>
      <c r="G4" s="19"/>
      <c r="H4" s="20" t="s">
        <v>712</v>
      </c>
      <c r="I4" s="20" t="s">
        <v>713</v>
      </c>
      <c r="J4" s="20"/>
      <c r="K4" s="20"/>
      <c r="L4" s="23" t="str">
        <f>HYPERLINK("http://slimages.macys.com/is/image/MCY/17857771 ")</f>
        <v xml:space="preserve">http://slimages.macys.com/is/image/MCY/17857771 </v>
      </c>
    </row>
    <row r="5" spans="1:12" ht="39.950000000000003" customHeight="1" x14ac:dyDescent="0.25">
      <c r="A5" s="19" t="s">
        <v>714</v>
      </c>
      <c r="B5" s="20" t="s">
        <v>715</v>
      </c>
      <c r="C5" s="21">
        <v>1</v>
      </c>
      <c r="D5" s="22">
        <v>129.99</v>
      </c>
      <c r="E5" s="21" t="s">
        <v>716</v>
      </c>
      <c r="F5" s="20" t="s">
        <v>691</v>
      </c>
      <c r="G5" s="19" t="s">
        <v>717</v>
      </c>
      <c r="H5" s="20" t="s">
        <v>718</v>
      </c>
      <c r="I5" s="20" t="s">
        <v>719</v>
      </c>
      <c r="J5" s="20" t="s">
        <v>20</v>
      </c>
      <c r="K5" s="20" t="s">
        <v>720</v>
      </c>
      <c r="L5" s="23" t="str">
        <f>HYPERLINK("http://slimages.macys.com/is/image/MCY/10702522 ")</f>
        <v xml:space="preserve">http://slimages.macys.com/is/image/MCY/10702522 </v>
      </c>
    </row>
    <row r="6" spans="1:12" ht="39.950000000000003" customHeight="1" x14ac:dyDescent="0.25">
      <c r="A6" s="19" t="s">
        <v>721</v>
      </c>
      <c r="B6" s="20" t="s">
        <v>722</v>
      </c>
      <c r="C6" s="21">
        <v>1</v>
      </c>
      <c r="D6" s="22">
        <v>169.99</v>
      </c>
      <c r="E6" s="21" t="s">
        <v>723</v>
      </c>
      <c r="F6" s="20" t="s">
        <v>89</v>
      </c>
      <c r="G6" s="19"/>
      <c r="H6" s="20" t="s">
        <v>724</v>
      </c>
      <c r="I6" s="20" t="s">
        <v>725</v>
      </c>
      <c r="J6" s="20" t="s">
        <v>20</v>
      </c>
      <c r="K6" s="20" t="s">
        <v>726</v>
      </c>
      <c r="L6" s="23" t="str">
        <f>HYPERLINK("http://slimages.macys.com/is/image/MCY/3962581 ")</f>
        <v xml:space="preserve">http://slimages.macys.com/is/image/MCY/3962581 </v>
      </c>
    </row>
    <row r="7" spans="1:12" ht="39.950000000000003" customHeight="1" x14ac:dyDescent="0.25">
      <c r="A7" s="19" t="s">
        <v>727</v>
      </c>
      <c r="B7" s="20" t="s">
        <v>728</v>
      </c>
      <c r="C7" s="21">
        <v>1</v>
      </c>
      <c r="D7" s="22">
        <v>199.99</v>
      </c>
      <c r="E7" s="21" t="s">
        <v>729</v>
      </c>
      <c r="F7" s="20" t="s">
        <v>89</v>
      </c>
      <c r="G7" s="19"/>
      <c r="H7" s="20" t="s">
        <v>707</v>
      </c>
      <c r="I7" s="20" t="s">
        <v>730</v>
      </c>
      <c r="J7" s="20" t="s">
        <v>20</v>
      </c>
      <c r="K7" s="20" t="s">
        <v>341</v>
      </c>
      <c r="L7" s="23" t="str">
        <f>HYPERLINK("http://slimages.macys.com/is/image/MCY/11953123 ")</f>
        <v xml:space="preserve">http://slimages.macys.com/is/image/MCY/11953123 </v>
      </c>
    </row>
    <row r="8" spans="1:12" ht="39.950000000000003" customHeight="1" x14ac:dyDescent="0.25">
      <c r="A8" s="19" t="s">
        <v>731</v>
      </c>
      <c r="B8" s="20" t="s">
        <v>732</v>
      </c>
      <c r="C8" s="21">
        <v>1</v>
      </c>
      <c r="D8" s="22">
        <v>99.99</v>
      </c>
      <c r="E8" s="21" t="s">
        <v>733</v>
      </c>
      <c r="F8" s="20" t="s">
        <v>555</v>
      </c>
      <c r="G8" s="19"/>
      <c r="H8" s="20" t="s">
        <v>734</v>
      </c>
      <c r="I8" s="20" t="s">
        <v>735</v>
      </c>
      <c r="J8" s="20"/>
      <c r="K8" s="20"/>
      <c r="L8" s="23" t="str">
        <f>HYPERLINK("http://slimages.macys.com/is/image/MCY/17566929 ")</f>
        <v xml:space="preserve">http://slimages.macys.com/is/image/MCY/17566929 </v>
      </c>
    </row>
    <row r="9" spans="1:12" ht="39.950000000000003" customHeight="1" x14ac:dyDescent="0.25">
      <c r="A9" s="19" t="s">
        <v>736</v>
      </c>
      <c r="B9" s="20" t="s">
        <v>737</v>
      </c>
      <c r="C9" s="21">
        <v>1</v>
      </c>
      <c r="D9" s="22">
        <v>169.99</v>
      </c>
      <c r="E9" s="21" t="s">
        <v>738</v>
      </c>
      <c r="F9" s="20" t="s">
        <v>89</v>
      </c>
      <c r="G9" s="19"/>
      <c r="H9" s="20" t="s">
        <v>739</v>
      </c>
      <c r="I9" s="20" t="s">
        <v>740</v>
      </c>
      <c r="J9" s="20"/>
      <c r="K9" s="20"/>
      <c r="L9" s="23" t="str">
        <f>HYPERLINK("http://slimages.macys.com/is/image/MCY/16792618 ")</f>
        <v xml:space="preserve">http://slimages.macys.com/is/image/MCY/16792618 </v>
      </c>
    </row>
    <row r="10" spans="1:12" ht="39.950000000000003" customHeight="1" x14ac:dyDescent="0.25">
      <c r="A10" s="19" t="s">
        <v>741</v>
      </c>
      <c r="B10" s="20" t="s">
        <v>742</v>
      </c>
      <c r="C10" s="21">
        <v>1</v>
      </c>
      <c r="D10" s="22">
        <v>95.99</v>
      </c>
      <c r="E10" s="21" t="s">
        <v>743</v>
      </c>
      <c r="F10" s="20" t="s">
        <v>744</v>
      </c>
      <c r="G10" s="19"/>
      <c r="H10" s="20" t="s">
        <v>745</v>
      </c>
      <c r="I10" s="20" t="s">
        <v>746</v>
      </c>
      <c r="J10" s="20" t="s">
        <v>20</v>
      </c>
      <c r="K10" s="20" t="s">
        <v>747</v>
      </c>
      <c r="L10" s="23" t="str">
        <f>HYPERLINK("http://slimages.macys.com/is/image/MCY/9798710 ")</f>
        <v xml:space="preserve">http://slimages.macys.com/is/image/MCY/9798710 </v>
      </c>
    </row>
    <row r="11" spans="1:12" ht="39.950000000000003" customHeight="1" x14ac:dyDescent="0.25">
      <c r="A11" s="19" t="s">
        <v>748</v>
      </c>
      <c r="B11" s="20" t="s">
        <v>749</v>
      </c>
      <c r="C11" s="21">
        <v>1</v>
      </c>
      <c r="D11" s="22">
        <v>105.99</v>
      </c>
      <c r="E11" s="21" t="s">
        <v>750</v>
      </c>
      <c r="F11" s="20" t="s">
        <v>89</v>
      </c>
      <c r="G11" s="19"/>
      <c r="H11" s="20" t="s">
        <v>745</v>
      </c>
      <c r="I11" s="20" t="s">
        <v>746</v>
      </c>
      <c r="J11" s="20" t="s">
        <v>20</v>
      </c>
      <c r="K11" s="20" t="s">
        <v>751</v>
      </c>
      <c r="L11" s="23" t="str">
        <f>HYPERLINK("http://slimages.macys.com/is/image/MCY/12056510 ")</f>
        <v xml:space="preserve">http://slimages.macys.com/is/image/MCY/12056510 </v>
      </c>
    </row>
    <row r="12" spans="1:12" ht="39.950000000000003" customHeight="1" x14ac:dyDescent="0.25">
      <c r="A12" s="19" t="s">
        <v>752</v>
      </c>
      <c r="B12" s="20" t="s">
        <v>753</v>
      </c>
      <c r="C12" s="21">
        <v>1</v>
      </c>
      <c r="D12" s="22">
        <v>108.99</v>
      </c>
      <c r="E12" s="21" t="s">
        <v>754</v>
      </c>
      <c r="F12" s="20" t="s">
        <v>755</v>
      </c>
      <c r="G12" s="19"/>
      <c r="H12" s="20" t="s">
        <v>712</v>
      </c>
      <c r="I12" s="20" t="s">
        <v>746</v>
      </c>
      <c r="J12" s="20" t="s">
        <v>20</v>
      </c>
      <c r="K12" s="20" t="s">
        <v>330</v>
      </c>
      <c r="L12" s="23" t="str">
        <f>HYPERLINK("http://slimages.macys.com/is/image/MCY/14429269 ")</f>
        <v xml:space="preserve">http://slimages.macys.com/is/image/MCY/14429269 </v>
      </c>
    </row>
    <row r="13" spans="1:12" ht="39.950000000000003" customHeight="1" x14ac:dyDescent="0.25">
      <c r="A13" s="19" t="s">
        <v>756</v>
      </c>
      <c r="B13" s="20" t="s">
        <v>757</v>
      </c>
      <c r="C13" s="21">
        <v>1</v>
      </c>
      <c r="D13" s="22">
        <v>99.99</v>
      </c>
      <c r="E13" s="21" t="s">
        <v>758</v>
      </c>
      <c r="F13" s="20" t="s">
        <v>759</v>
      </c>
      <c r="G13" s="19"/>
      <c r="H13" s="20" t="s">
        <v>712</v>
      </c>
      <c r="I13" s="20" t="s">
        <v>760</v>
      </c>
      <c r="J13" s="20" t="s">
        <v>20</v>
      </c>
      <c r="K13" s="20"/>
      <c r="L13" s="23" t="str">
        <f>HYPERLINK("http://slimages.macys.com/is/image/MCY/8708329 ")</f>
        <v xml:space="preserve">http://slimages.macys.com/is/image/MCY/8708329 </v>
      </c>
    </row>
    <row r="14" spans="1:12" ht="39.950000000000003" customHeight="1" x14ac:dyDescent="0.25">
      <c r="A14" s="19" t="s">
        <v>761</v>
      </c>
      <c r="B14" s="20" t="s">
        <v>762</v>
      </c>
      <c r="C14" s="21">
        <v>1</v>
      </c>
      <c r="D14" s="22">
        <v>79.989999999999995</v>
      </c>
      <c r="E14" s="21" t="s">
        <v>763</v>
      </c>
      <c r="F14" s="20" t="s">
        <v>89</v>
      </c>
      <c r="G14" s="19" t="s">
        <v>764</v>
      </c>
      <c r="H14" s="20" t="s">
        <v>765</v>
      </c>
      <c r="I14" s="20" t="s">
        <v>746</v>
      </c>
      <c r="J14" s="20"/>
      <c r="K14" s="20"/>
      <c r="L14" s="23" t="str">
        <f>HYPERLINK("http://slimages.macys.com/is/image/MCY/17532065 ")</f>
        <v xml:space="preserve">http://slimages.macys.com/is/image/MCY/17532065 </v>
      </c>
    </row>
    <row r="15" spans="1:12" ht="39.950000000000003" customHeight="1" x14ac:dyDescent="0.25">
      <c r="A15" s="19" t="s">
        <v>766</v>
      </c>
      <c r="B15" s="20" t="s">
        <v>767</v>
      </c>
      <c r="C15" s="21">
        <v>1</v>
      </c>
      <c r="D15" s="22">
        <v>84.99</v>
      </c>
      <c r="E15" s="21">
        <v>8045276</v>
      </c>
      <c r="F15" s="20" t="s">
        <v>600</v>
      </c>
      <c r="G15" s="19"/>
      <c r="H15" s="20" t="s">
        <v>712</v>
      </c>
      <c r="I15" s="20" t="s">
        <v>768</v>
      </c>
      <c r="J15" s="20" t="s">
        <v>20</v>
      </c>
      <c r="K15" s="20"/>
      <c r="L15" s="23" t="str">
        <f>HYPERLINK("http://slimages.macys.com/is/image/MCY/8779302 ")</f>
        <v xml:space="preserve">http://slimages.macys.com/is/image/MCY/8779302 </v>
      </c>
    </row>
    <row r="16" spans="1:12" ht="39.950000000000003" customHeight="1" x14ac:dyDescent="0.25">
      <c r="A16" s="19" t="s">
        <v>769</v>
      </c>
      <c r="B16" s="20" t="s">
        <v>770</v>
      </c>
      <c r="C16" s="21">
        <v>1</v>
      </c>
      <c r="D16" s="22">
        <v>129.99</v>
      </c>
      <c r="E16" s="21" t="s">
        <v>771</v>
      </c>
      <c r="F16" s="20" t="s">
        <v>89</v>
      </c>
      <c r="G16" s="19"/>
      <c r="H16" s="20" t="s">
        <v>772</v>
      </c>
      <c r="I16" s="20" t="s">
        <v>773</v>
      </c>
      <c r="J16" s="20" t="s">
        <v>20</v>
      </c>
      <c r="K16" s="20" t="s">
        <v>341</v>
      </c>
      <c r="L16" s="23" t="str">
        <f>HYPERLINK("http://slimages.macys.com/is/image/MCY/15389610 ")</f>
        <v xml:space="preserve">http://slimages.macys.com/is/image/MCY/15389610 </v>
      </c>
    </row>
    <row r="17" spans="1:12" ht="39.950000000000003" customHeight="1" x14ac:dyDescent="0.25">
      <c r="A17" s="19" t="s">
        <v>774</v>
      </c>
      <c r="B17" s="20" t="s">
        <v>775</v>
      </c>
      <c r="C17" s="21">
        <v>2</v>
      </c>
      <c r="D17" s="22">
        <v>259.98</v>
      </c>
      <c r="E17" s="21" t="s">
        <v>776</v>
      </c>
      <c r="F17" s="20" t="s">
        <v>89</v>
      </c>
      <c r="G17" s="19"/>
      <c r="H17" s="20" t="s">
        <v>772</v>
      </c>
      <c r="I17" s="20" t="s">
        <v>773</v>
      </c>
      <c r="J17" s="20" t="s">
        <v>20</v>
      </c>
      <c r="K17" s="20" t="s">
        <v>777</v>
      </c>
      <c r="L17" s="23" t="str">
        <f>HYPERLINK("http://slimages.macys.com/is/image/MCY/15862594 ")</f>
        <v xml:space="preserve">http://slimages.macys.com/is/image/MCY/15862594 </v>
      </c>
    </row>
    <row r="18" spans="1:12" ht="39.950000000000003" customHeight="1" x14ac:dyDescent="0.25">
      <c r="A18" s="19" t="s">
        <v>778</v>
      </c>
      <c r="B18" s="20" t="s">
        <v>779</v>
      </c>
      <c r="C18" s="21">
        <v>1</v>
      </c>
      <c r="D18" s="22">
        <v>86.99</v>
      </c>
      <c r="E18" s="21" t="s">
        <v>780</v>
      </c>
      <c r="F18" s="20" t="s">
        <v>89</v>
      </c>
      <c r="G18" s="19" t="s">
        <v>781</v>
      </c>
      <c r="H18" s="20" t="s">
        <v>782</v>
      </c>
      <c r="I18" s="20" t="s">
        <v>783</v>
      </c>
      <c r="J18" s="20" t="s">
        <v>110</v>
      </c>
      <c r="K18" s="20" t="s">
        <v>784</v>
      </c>
      <c r="L18" s="23" t="str">
        <f>HYPERLINK("http://slimages.macys.com/is/image/MCY/11798282 ")</f>
        <v xml:space="preserve">http://slimages.macys.com/is/image/MCY/11798282 </v>
      </c>
    </row>
    <row r="19" spans="1:12" ht="39.950000000000003" customHeight="1" x14ac:dyDescent="0.25">
      <c r="A19" s="19" t="s">
        <v>785</v>
      </c>
      <c r="B19" s="20" t="s">
        <v>786</v>
      </c>
      <c r="C19" s="21">
        <v>1</v>
      </c>
      <c r="D19" s="22">
        <v>149.99</v>
      </c>
      <c r="E19" s="21" t="s">
        <v>787</v>
      </c>
      <c r="F19" s="20" t="s">
        <v>89</v>
      </c>
      <c r="G19" s="19" t="s">
        <v>788</v>
      </c>
      <c r="H19" s="20" t="s">
        <v>707</v>
      </c>
      <c r="I19" s="20" t="s">
        <v>730</v>
      </c>
      <c r="J19" s="20" t="s">
        <v>20</v>
      </c>
      <c r="K19" s="20" t="s">
        <v>789</v>
      </c>
      <c r="L19" s="23" t="str">
        <f>HYPERLINK("http://slimages.macys.com/is/image/MCY/16356754 ")</f>
        <v xml:space="preserve">http://slimages.macys.com/is/image/MCY/16356754 </v>
      </c>
    </row>
    <row r="20" spans="1:12" ht="39.950000000000003" customHeight="1" x14ac:dyDescent="0.25">
      <c r="A20" s="19" t="s">
        <v>790</v>
      </c>
      <c r="B20" s="20" t="s">
        <v>791</v>
      </c>
      <c r="C20" s="21">
        <v>1</v>
      </c>
      <c r="D20" s="22">
        <v>86.99</v>
      </c>
      <c r="E20" s="21" t="s">
        <v>792</v>
      </c>
      <c r="F20" s="20" t="s">
        <v>483</v>
      </c>
      <c r="G20" s="19"/>
      <c r="H20" s="20" t="s">
        <v>745</v>
      </c>
      <c r="I20" s="20" t="s">
        <v>793</v>
      </c>
      <c r="J20" s="20" t="s">
        <v>20</v>
      </c>
      <c r="K20" s="20" t="s">
        <v>794</v>
      </c>
      <c r="L20" s="23" t="str">
        <f>HYPERLINK("http://slimages.macys.com/is/image/MCY/13754040 ")</f>
        <v xml:space="preserve">http://slimages.macys.com/is/image/MCY/13754040 </v>
      </c>
    </row>
    <row r="21" spans="1:12" ht="39.950000000000003" customHeight="1" x14ac:dyDescent="0.25">
      <c r="A21" s="19" t="s">
        <v>795</v>
      </c>
      <c r="B21" s="20" t="s">
        <v>796</v>
      </c>
      <c r="C21" s="21">
        <v>1</v>
      </c>
      <c r="D21" s="22">
        <v>67.989999999999995</v>
      </c>
      <c r="E21" s="21" t="s">
        <v>797</v>
      </c>
      <c r="F21" s="20" t="s">
        <v>759</v>
      </c>
      <c r="G21" s="19"/>
      <c r="H21" s="20" t="s">
        <v>765</v>
      </c>
      <c r="I21" s="20" t="s">
        <v>746</v>
      </c>
      <c r="J21" s="20" t="s">
        <v>20</v>
      </c>
      <c r="K21" s="20" t="s">
        <v>798</v>
      </c>
      <c r="L21" s="23" t="str">
        <f>HYPERLINK("http://slimages.macys.com/is/image/MCY/10764977 ")</f>
        <v xml:space="preserve">http://slimages.macys.com/is/image/MCY/10764977 </v>
      </c>
    </row>
    <row r="22" spans="1:12" ht="39.950000000000003" customHeight="1" x14ac:dyDescent="0.25">
      <c r="A22" s="19" t="s">
        <v>799</v>
      </c>
      <c r="B22" s="20" t="s">
        <v>800</v>
      </c>
      <c r="C22" s="21">
        <v>2</v>
      </c>
      <c r="D22" s="22">
        <v>135.97999999999999</v>
      </c>
      <c r="E22" s="21" t="s">
        <v>801</v>
      </c>
      <c r="F22" s="20" t="s">
        <v>89</v>
      </c>
      <c r="G22" s="19" t="s">
        <v>781</v>
      </c>
      <c r="H22" s="20" t="s">
        <v>782</v>
      </c>
      <c r="I22" s="20" t="s">
        <v>783</v>
      </c>
      <c r="J22" s="20" t="s">
        <v>110</v>
      </c>
      <c r="K22" s="20" t="s">
        <v>802</v>
      </c>
      <c r="L22" s="23" t="str">
        <f>HYPERLINK("http://slimages.macys.com/is/image/MCY/11798378 ")</f>
        <v xml:space="preserve">http://slimages.macys.com/is/image/MCY/11798378 </v>
      </c>
    </row>
    <row r="23" spans="1:12" ht="39.950000000000003" customHeight="1" x14ac:dyDescent="0.25">
      <c r="A23" s="19" t="s">
        <v>803</v>
      </c>
      <c r="B23" s="20" t="s">
        <v>804</v>
      </c>
      <c r="C23" s="21">
        <v>1</v>
      </c>
      <c r="D23" s="22">
        <v>59.99</v>
      </c>
      <c r="E23" s="21" t="s">
        <v>805</v>
      </c>
      <c r="F23" s="20" t="s">
        <v>89</v>
      </c>
      <c r="G23" s="19"/>
      <c r="H23" s="20" t="s">
        <v>718</v>
      </c>
      <c r="I23" s="20" t="s">
        <v>806</v>
      </c>
      <c r="J23" s="20" t="s">
        <v>20</v>
      </c>
      <c r="K23" s="20" t="s">
        <v>362</v>
      </c>
      <c r="L23" s="23" t="str">
        <f>HYPERLINK("http://slimages.macys.com/is/image/MCY/13036438 ")</f>
        <v xml:space="preserve">http://slimages.macys.com/is/image/MCY/13036438 </v>
      </c>
    </row>
    <row r="24" spans="1:12" ht="39.950000000000003" customHeight="1" x14ac:dyDescent="0.25">
      <c r="A24" s="19" t="s">
        <v>807</v>
      </c>
      <c r="B24" s="20" t="s">
        <v>808</v>
      </c>
      <c r="C24" s="21">
        <v>1</v>
      </c>
      <c r="D24" s="22">
        <v>63.99</v>
      </c>
      <c r="E24" s="21" t="s">
        <v>809</v>
      </c>
      <c r="F24" s="20" t="s">
        <v>89</v>
      </c>
      <c r="G24" s="19" t="s">
        <v>781</v>
      </c>
      <c r="H24" s="20" t="s">
        <v>782</v>
      </c>
      <c r="I24" s="20" t="s">
        <v>783</v>
      </c>
      <c r="J24" s="20" t="s">
        <v>110</v>
      </c>
      <c r="K24" s="20" t="s">
        <v>810</v>
      </c>
      <c r="L24" s="23" t="str">
        <f>HYPERLINK("http://slimages.macys.com/is/image/MCY/11798258 ")</f>
        <v xml:space="preserve">http://slimages.macys.com/is/image/MCY/11798258 </v>
      </c>
    </row>
    <row r="25" spans="1:12" ht="39.950000000000003" customHeight="1" x14ac:dyDescent="0.25">
      <c r="A25" s="19" t="s">
        <v>811</v>
      </c>
      <c r="B25" s="20" t="s">
        <v>812</v>
      </c>
      <c r="C25" s="21">
        <v>1</v>
      </c>
      <c r="D25" s="22">
        <v>64.989999999999995</v>
      </c>
      <c r="E25" s="21" t="s">
        <v>813</v>
      </c>
      <c r="F25" s="20" t="s">
        <v>159</v>
      </c>
      <c r="G25" s="19"/>
      <c r="H25" s="20" t="s">
        <v>712</v>
      </c>
      <c r="I25" s="20" t="s">
        <v>814</v>
      </c>
      <c r="J25" s="20" t="s">
        <v>20</v>
      </c>
      <c r="K25" s="20" t="s">
        <v>396</v>
      </c>
      <c r="L25" s="23" t="str">
        <f>HYPERLINK("http://slimages.macys.com/is/image/MCY/10290998 ")</f>
        <v xml:space="preserve">http://slimages.macys.com/is/image/MCY/10290998 </v>
      </c>
    </row>
    <row r="26" spans="1:12" ht="39.950000000000003" customHeight="1" x14ac:dyDescent="0.25">
      <c r="A26" s="19" t="s">
        <v>815</v>
      </c>
      <c r="B26" s="20" t="s">
        <v>816</v>
      </c>
      <c r="C26" s="21">
        <v>1</v>
      </c>
      <c r="D26" s="22">
        <v>64.989999999999995</v>
      </c>
      <c r="E26" s="21" t="s">
        <v>817</v>
      </c>
      <c r="F26" s="20" t="s">
        <v>89</v>
      </c>
      <c r="G26" s="19"/>
      <c r="H26" s="20" t="s">
        <v>712</v>
      </c>
      <c r="I26" s="20" t="s">
        <v>814</v>
      </c>
      <c r="J26" s="20" t="s">
        <v>20</v>
      </c>
      <c r="K26" s="20" t="s">
        <v>396</v>
      </c>
      <c r="L26" s="23" t="str">
        <f>HYPERLINK("http://slimages.macys.com/is/image/MCY/10290998 ")</f>
        <v xml:space="preserve">http://slimages.macys.com/is/image/MCY/10290998 </v>
      </c>
    </row>
    <row r="27" spans="1:12" ht="39.950000000000003" customHeight="1" x14ac:dyDescent="0.25">
      <c r="A27" s="19" t="s">
        <v>818</v>
      </c>
      <c r="B27" s="20" t="s">
        <v>819</v>
      </c>
      <c r="C27" s="21">
        <v>7</v>
      </c>
      <c r="D27" s="22">
        <v>342.93</v>
      </c>
      <c r="E27" s="21" t="s">
        <v>820</v>
      </c>
      <c r="F27" s="20" t="s">
        <v>821</v>
      </c>
      <c r="G27" s="19" t="s">
        <v>360</v>
      </c>
      <c r="H27" s="20" t="s">
        <v>745</v>
      </c>
      <c r="I27" s="20" t="s">
        <v>447</v>
      </c>
      <c r="J27" s="20" t="s">
        <v>20</v>
      </c>
      <c r="K27" s="20" t="s">
        <v>822</v>
      </c>
      <c r="L27" s="23" t="str">
        <f>HYPERLINK("http://slimages.macys.com/is/image/MCY/15658145 ")</f>
        <v xml:space="preserve">http://slimages.macys.com/is/image/MCY/15658145 </v>
      </c>
    </row>
    <row r="28" spans="1:12" ht="39.950000000000003" customHeight="1" x14ac:dyDescent="0.25">
      <c r="A28" s="19" t="s">
        <v>823</v>
      </c>
      <c r="B28" s="20" t="s">
        <v>824</v>
      </c>
      <c r="C28" s="21">
        <v>1</v>
      </c>
      <c r="D28" s="22">
        <v>67.989999999999995</v>
      </c>
      <c r="E28" s="21" t="s">
        <v>825</v>
      </c>
      <c r="F28" s="20" t="s">
        <v>274</v>
      </c>
      <c r="G28" s="19"/>
      <c r="H28" s="20" t="s">
        <v>745</v>
      </c>
      <c r="I28" s="20" t="s">
        <v>826</v>
      </c>
      <c r="J28" s="20" t="s">
        <v>20</v>
      </c>
      <c r="K28" s="20" t="s">
        <v>827</v>
      </c>
      <c r="L28" s="23" t="str">
        <f>HYPERLINK("http://slimages.macys.com/is/image/MCY/15924968 ")</f>
        <v xml:space="preserve">http://slimages.macys.com/is/image/MCY/15924968 </v>
      </c>
    </row>
    <row r="29" spans="1:12" ht="39.950000000000003" customHeight="1" x14ac:dyDescent="0.25">
      <c r="A29" s="19" t="s">
        <v>828</v>
      </c>
      <c r="B29" s="20" t="s">
        <v>829</v>
      </c>
      <c r="C29" s="21">
        <v>1</v>
      </c>
      <c r="D29" s="22">
        <v>59.99</v>
      </c>
      <c r="E29" s="21" t="s">
        <v>830</v>
      </c>
      <c r="F29" s="20" t="s">
        <v>483</v>
      </c>
      <c r="G29" s="19" t="s">
        <v>360</v>
      </c>
      <c r="H29" s="20" t="s">
        <v>831</v>
      </c>
      <c r="I29" s="20" t="s">
        <v>832</v>
      </c>
      <c r="J29" s="20" t="s">
        <v>20</v>
      </c>
      <c r="K29" s="20" t="s">
        <v>396</v>
      </c>
      <c r="L29" s="23" t="str">
        <f>HYPERLINK("http://slimages.macys.com/is/image/MCY/8437845 ")</f>
        <v xml:space="preserve">http://slimages.macys.com/is/image/MCY/8437845 </v>
      </c>
    </row>
    <row r="30" spans="1:12" ht="39.950000000000003" customHeight="1" x14ac:dyDescent="0.25">
      <c r="A30" s="19" t="s">
        <v>833</v>
      </c>
      <c r="B30" s="20" t="s">
        <v>834</v>
      </c>
      <c r="C30" s="21">
        <v>1</v>
      </c>
      <c r="D30" s="22">
        <v>59.99</v>
      </c>
      <c r="E30" s="21">
        <v>70081</v>
      </c>
      <c r="F30" s="20" t="s">
        <v>89</v>
      </c>
      <c r="G30" s="19"/>
      <c r="H30" s="20" t="s">
        <v>782</v>
      </c>
      <c r="I30" s="20" t="s">
        <v>835</v>
      </c>
      <c r="J30" s="20" t="s">
        <v>20</v>
      </c>
      <c r="K30" s="20" t="s">
        <v>836</v>
      </c>
      <c r="L30" s="23" t="str">
        <f>HYPERLINK("http://slimages.macys.com/is/image/MCY/11443707 ")</f>
        <v xml:space="preserve">http://slimages.macys.com/is/image/MCY/11443707 </v>
      </c>
    </row>
    <row r="31" spans="1:12" ht="39.950000000000003" customHeight="1" x14ac:dyDescent="0.25">
      <c r="A31" s="19" t="s">
        <v>837</v>
      </c>
      <c r="B31" s="20" t="s">
        <v>838</v>
      </c>
      <c r="C31" s="21">
        <v>1</v>
      </c>
      <c r="D31" s="22">
        <v>49.99</v>
      </c>
      <c r="E31" s="21" t="s">
        <v>839</v>
      </c>
      <c r="F31" s="20" t="s">
        <v>89</v>
      </c>
      <c r="G31" s="19"/>
      <c r="H31" s="20" t="s">
        <v>700</v>
      </c>
      <c r="I31" s="20" t="s">
        <v>840</v>
      </c>
      <c r="J31" s="20" t="s">
        <v>702</v>
      </c>
      <c r="K31" s="20" t="s">
        <v>841</v>
      </c>
      <c r="L31" s="23" t="str">
        <f>HYPERLINK("http://images.bloomingdales.com/is/image/BLM/10913076 ")</f>
        <v xml:space="preserve">http://images.bloomingdales.com/is/image/BLM/10913076 </v>
      </c>
    </row>
    <row r="32" spans="1:12" ht="39.950000000000003" customHeight="1" x14ac:dyDescent="0.25">
      <c r="A32" s="19" t="s">
        <v>842</v>
      </c>
      <c r="B32" s="20" t="s">
        <v>843</v>
      </c>
      <c r="C32" s="21">
        <v>1</v>
      </c>
      <c r="D32" s="22">
        <v>99.99</v>
      </c>
      <c r="E32" s="21" t="s">
        <v>844</v>
      </c>
      <c r="F32" s="20" t="s">
        <v>54</v>
      </c>
      <c r="G32" s="19" t="s">
        <v>845</v>
      </c>
      <c r="H32" s="20" t="s">
        <v>707</v>
      </c>
      <c r="I32" s="20" t="s">
        <v>730</v>
      </c>
      <c r="J32" s="20" t="s">
        <v>20</v>
      </c>
      <c r="K32" s="20" t="s">
        <v>846</v>
      </c>
      <c r="L32" s="23" t="str">
        <f>HYPERLINK("http://slimages.macys.com/is/image/MCY/8182285 ")</f>
        <v xml:space="preserve">http://slimages.macys.com/is/image/MCY/8182285 </v>
      </c>
    </row>
    <row r="33" spans="1:12" ht="39.950000000000003" customHeight="1" x14ac:dyDescent="0.25">
      <c r="A33" s="19" t="s">
        <v>847</v>
      </c>
      <c r="B33" s="20" t="s">
        <v>848</v>
      </c>
      <c r="C33" s="21">
        <v>1</v>
      </c>
      <c r="D33" s="22">
        <v>52.99</v>
      </c>
      <c r="E33" s="21" t="s">
        <v>849</v>
      </c>
      <c r="F33" s="20" t="s">
        <v>850</v>
      </c>
      <c r="G33" s="19"/>
      <c r="H33" s="20" t="s">
        <v>765</v>
      </c>
      <c r="I33" s="20" t="s">
        <v>851</v>
      </c>
      <c r="J33" s="20" t="s">
        <v>20</v>
      </c>
      <c r="K33" s="20" t="s">
        <v>852</v>
      </c>
      <c r="L33" s="23" t="str">
        <f>HYPERLINK("http://slimages.macys.com/is/image/MCY/14476850 ")</f>
        <v xml:space="preserve">http://slimages.macys.com/is/image/MCY/14476850 </v>
      </c>
    </row>
    <row r="34" spans="1:12" ht="39.950000000000003" customHeight="1" x14ac:dyDescent="0.25">
      <c r="A34" s="19" t="s">
        <v>853</v>
      </c>
      <c r="B34" s="20" t="s">
        <v>854</v>
      </c>
      <c r="C34" s="21">
        <v>1</v>
      </c>
      <c r="D34" s="22">
        <v>41.99</v>
      </c>
      <c r="E34" s="21" t="s">
        <v>855</v>
      </c>
      <c r="F34" s="20" t="s">
        <v>600</v>
      </c>
      <c r="G34" s="19"/>
      <c r="H34" s="20" t="s">
        <v>718</v>
      </c>
      <c r="I34" s="20" t="s">
        <v>856</v>
      </c>
      <c r="J34" s="20" t="s">
        <v>20</v>
      </c>
      <c r="K34" s="20" t="s">
        <v>857</v>
      </c>
      <c r="L34" s="23" t="str">
        <f>HYPERLINK("http://slimages.macys.com/is/image/MCY/10436504 ")</f>
        <v xml:space="preserve">http://slimages.macys.com/is/image/MCY/10436504 </v>
      </c>
    </row>
    <row r="35" spans="1:12" ht="39.950000000000003" customHeight="1" x14ac:dyDescent="0.25">
      <c r="A35" s="19" t="s">
        <v>858</v>
      </c>
      <c r="B35" s="20" t="s">
        <v>859</v>
      </c>
      <c r="C35" s="21">
        <v>1</v>
      </c>
      <c r="D35" s="22">
        <v>41.99</v>
      </c>
      <c r="E35" s="21" t="s">
        <v>860</v>
      </c>
      <c r="F35" s="20" t="s">
        <v>555</v>
      </c>
      <c r="G35" s="19"/>
      <c r="H35" s="20" t="s">
        <v>718</v>
      </c>
      <c r="I35" s="20" t="s">
        <v>856</v>
      </c>
      <c r="J35" s="20" t="s">
        <v>20</v>
      </c>
      <c r="K35" s="20" t="s">
        <v>861</v>
      </c>
      <c r="L35" s="23" t="str">
        <f>HYPERLINK("http://slimages.macys.com/is/image/MCY/10721521 ")</f>
        <v xml:space="preserve">http://slimages.macys.com/is/image/MCY/10721521 </v>
      </c>
    </row>
    <row r="36" spans="1:12" ht="39.950000000000003" customHeight="1" x14ac:dyDescent="0.25">
      <c r="A36" s="19" t="s">
        <v>862</v>
      </c>
      <c r="B36" s="20" t="s">
        <v>863</v>
      </c>
      <c r="C36" s="21">
        <v>1</v>
      </c>
      <c r="D36" s="22">
        <v>44.99</v>
      </c>
      <c r="E36" s="21" t="s">
        <v>864</v>
      </c>
      <c r="F36" s="20" t="s">
        <v>685</v>
      </c>
      <c r="G36" s="19"/>
      <c r="H36" s="20" t="s">
        <v>865</v>
      </c>
      <c r="I36" s="20" t="s">
        <v>866</v>
      </c>
      <c r="J36" s="20"/>
      <c r="K36" s="20"/>
      <c r="L36" s="23" t="str">
        <f>HYPERLINK("http://slimages.macys.com/is/image/MCY/18259122 ")</f>
        <v xml:space="preserve">http://slimages.macys.com/is/image/MCY/18259122 </v>
      </c>
    </row>
    <row r="37" spans="1:12" ht="39.950000000000003" customHeight="1" x14ac:dyDescent="0.25">
      <c r="A37" s="19" t="s">
        <v>867</v>
      </c>
      <c r="B37" s="20" t="s">
        <v>868</v>
      </c>
      <c r="C37" s="21">
        <v>1</v>
      </c>
      <c r="D37" s="22">
        <v>59.99</v>
      </c>
      <c r="E37" s="21" t="s">
        <v>869</v>
      </c>
      <c r="F37" s="20" t="s">
        <v>691</v>
      </c>
      <c r="G37" s="19"/>
      <c r="H37" s="20" t="s">
        <v>745</v>
      </c>
      <c r="I37" s="20" t="s">
        <v>793</v>
      </c>
      <c r="J37" s="20" t="s">
        <v>20</v>
      </c>
      <c r="K37" s="20" t="s">
        <v>870</v>
      </c>
      <c r="L37" s="23" t="str">
        <f>HYPERLINK("http://slimages.macys.com/is/image/MCY/13756548 ")</f>
        <v xml:space="preserve">http://slimages.macys.com/is/image/MCY/13756548 </v>
      </c>
    </row>
    <row r="38" spans="1:12" ht="39.950000000000003" customHeight="1" x14ac:dyDescent="0.25">
      <c r="A38" s="19" t="s">
        <v>871</v>
      </c>
      <c r="B38" s="20" t="s">
        <v>872</v>
      </c>
      <c r="C38" s="21">
        <v>1</v>
      </c>
      <c r="D38" s="22">
        <v>79.989999999999995</v>
      </c>
      <c r="E38" s="21" t="s">
        <v>873</v>
      </c>
      <c r="F38" s="20" t="s">
        <v>483</v>
      </c>
      <c r="G38" s="19"/>
      <c r="H38" s="20" t="s">
        <v>707</v>
      </c>
      <c r="I38" s="20" t="s">
        <v>874</v>
      </c>
      <c r="J38" s="20" t="s">
        <v>20</v>
      </c>
      <c r="K38" s="20" t="s">
        <v>875</v>
      </c>
      <c r="L38" s="23" t="str">
        <f>HYPERLINK("http://slimages.macys.com/is/image/MCY/13966634 ")</f>
        <v xml:space="preserve">http://slimages.macys.com/is/image/MCY/13966634 </v>
      </c>
    </row>
    <row r="39" spans="1:12" ht="39.950000000000003" customHeight="1" x14ac:dyDescent="0.25">
      <c r="A39" s="19" t="s">
        <v>876</v>
      </c>
      <c r="B39" s="20" t="s">
        <v>877</v>
      </c>
      <c r="C39" s="21">
        <v>1</v>
      </c>
      <c r="D39" s="22">
        <v>57.99</v>
      </c>
      <c r="E39" s="21" t="s">
        <v>878</v>
      </c>
      <c r="F39" s="20" t="s">
        <v>89</v>
      </c>
      <c r="G39" s="19"/>
      <c r="H39" s="20" t="s">
        <v>745</v>
      </c>
      <c r="I39" s="20" t="s">
        <v>879</v>
      </c>
      <c r="J39" s="20" t="s">
        <v>20</v>
      </c>
      <c r="K39" s="20" t="s">
        <v>880</v>
      </c>
      <c r="L39" s="23" t="str">
        <f>HYPERLINK("http://slimages.macys.com/is/image/MCY/11501454 ")</f>
        <v xml:space="preserve">http://slimages.macys.com/is/image/MCY/11501454 </v>
      </c>
    </row>
    <row r="40" spans="1:12" ht="39.950000000000003" customHeight="1" x14ac:dyDescent="0.25">
      <c r="A40" s="19" t="s">
        <v>881</v>
      </c>
      <c r="B40" s="20" t="s">
        <v>882</v>
      </c>
      <c r="C40" s="21">
        <v>1</v>
      </c>
      <c r="D40" s="22">
        <v>39.99</v>
      </c>
      <c r="E40" s="21" t="s">
        <v>883</v>
      </c>
      <c r="F40" s="20" t="s">
        <v>89</v>
      </c>
      <c r="G40" s="19"/>
      <c r="H40" s="20" t="s">
        <v>700</v>
      </c>
      <c r="I40" s="20" t="s">
        <v>840</v>
      </c>
      <c r="J40" s="20" t="s">
        <v>20</v>
      </c>
      <c r="K40" s="20"/>
      <c r="L40" s="23" t="str">
        <f>HYPERLINK("http://slimages.macys.com/is/image/MCY/8417120 ")</f>
        <v xml:space="preserve">http://slimages.macys.com/is/image/MCY/8417120 </v>
      </c>
    </row>
    <row r="41" spans="1:12" ht="39.950000000000003" customHeight="1" x14ac:dyDescent="0.25">
      <c r="A41" s="19" t="s">
        <v>884</v>
      </c>
      <c r="B41" s="20" t="s">
        <v>885</v>
      </c>
      <c r="C41" s="21">
        <v>1</v>
      </c>
      <c r="D41" s="22">
        <v>39.99</v>
      </c>
      <c r="E41" s="21" t="s">
        <v>886</v>
      </c>
      <c r="F41" s="20" t="s">
        <v>628</v>
      </c>
      <c r="G41" s="19"/>
      <c r="H41" s="20" t="s">
        <v>718</v>
      </c>
      <c r="I41" s="20" t="s">
        <v>806</v>
      </c>
      <c r="J41" s="20"/>
      <c r="K41" s="20"/>
      <c r="L41" s="23" t="str">
        <f>HYPERLINK("http://slimages.macys.com/is/image/MCY/17968749 ")</f>
        <v xml:space="preserve">http://slimages.macys.com/is/image/MCY/17968749 </v>
      </c>
    </row>
    <row r="42" spans="1:12" ht="39.950000000000003" customHeight="1" x14ac:dyDescent="0.25">
      <c r="A42" s="19" t="s">
        <v>887</v>
      </c>
      <c r="B42" s="20" t="s">
        <v>888</v>
      </c>
      <c r="C42" s="21">
        <v>1</v>
      </c>
      <c r="D42" s="22">
        <v>34.99</v>
      </c>
      <c r="E42" s="21" t="s">
        <v>889</v>
      </c>
      <c r="F42" s="20" t="s">
        <v>850</v>
      </c>
      <c r="G42" s="19"/>
      <c r="H42" s="20" t="s">
        <v>718</v>
      </c>
      <c r="I42" s="20" t="s">
        <v>856</v>
      </c>
      <c r="J42" s="20" t="s">
        <v>20</v>
      </c>
      <c r="K42" s="20" t="s">
        <v>890</v>
      </c>
      <c r="L42" s="23" t="str">
        <f>HYPERLINK("http://slimages.macys.com/is/image/MCY/10681523 ")</f>
        <v xml:space="preserve">http://slimages.macys.com/is/image/MCY/10681523 </v>
      </c>
    </row>
    <row r="43" spans="1:12" ht="39.950000000000003" customHeight="1" x14ac:dyDescent="0.25">
      <c r="A43" s="19" t="s">
        <v>891</v>
      </c>
      <c r="B43" s="20" t="s">
        <v>892</v>
      </c>
      <c r="C43" s="21">
        <v>2</v>
      </c>
      <c r="D43" s="22">
        <v>79.98</v>
      </c>
      <c r="E43" s="21" t="s">
        <v>893</v>
      </c>
      <c r="F43" s="20" t="s">
        <v>600</v>
      </c>
      <c r="G43" s="19"/>
      <c r="H43" s="20" t="s">
        <v>700</v>
      </c>
      <c r="I43" s="20" t="s">
        <v>894</v>
      </c>
      <c r="J43" s="20"/>
      <c r="K43" s="20"/>
      <c r="L43" s="23" t="str">
        <f>HYPERLINK("http://slimages.macys.com/is/image/MCY/17135230 ")</f>
        <v xml:space="preserve">http://slimages.macys.com/is/image/MCY/17135230 </v>
      </c>
    </row>
    <row r="44" spans="1:12" ht="39.950000000000003" customHeight="1" x14ac:dyDescent="0.25">
      <c r="A44" s="19" t="s">
        <v>895</v>
      </c>
      <c r="B44" s="20" t="s">
        <v>896</v>
      </c>
      <c r="C44" s="21">
        <v>1</v>
      </c>
      <c r="D44" s="22">
        <v>49.99</v>
      </c>
      <c r="E44" s="21" t="s">
        <v>897</v>
      </c>
      <c r="F44" s="20" t="s">
        <v>898</v>
      </c>
      <c r="G44" s="19" t="s">
        <v>899</v>
      </c>
      <c r="H44" s="20" t="s">
        <v>712</v>
      </c>
      <c r="I44" s="20" t="s">
        <v>900</v>
      </c>
      <c r="J44" s="20" t="s">
        <v>20</v>
      </c>
      <c r="K44" s="20" t="s">
        <v>901</v>
      </c>
      <c r="L44" s="23" t="str">
        <f>HYPERLINK("http://slimages.macys.com/is/image/MCY/10747404 ")</f>
        <v xml:space="preserve">http://slimages.macys.com/is/image/MCY/10747404 </v>
      </c>
    </row>
    <row r="45" spans="1:12" ht="39.950000000000003" customHeight="1" x14ac:dyDescent="0.25">
      <c r="A45" s="19" t="s">
        <v>902</v>
      </c>
      <c r="B45" s="20" t="s">
        <v>903</v>
      </c>
      <c r="C45" s="21">
        <v>1</v>
      </c>
      <c r="D45" s="22">
        <v>32.99</v>
      </c>
      <c r="E45" s="21" t="s">
        <v>904</v>
      </c>
      <c r="F45" s="20" t="s">
        <v>394</v>
      </c>
      <c r="G45" s="19" t="s">
        <v>905</v>
      </c>
      <c r="H45" s="20" t="s">
        <v>718</v>
      </c>
      <c r="I45" s="20" t="s">
        <v>906</v>
      </c>
      <c r="J45" s="20" t="s">
        <v>20</v>
      </c>
      <c r="K45" s="20" t="s">
        <v>861</v>
      </c>
      <c r="L45" s="23" t="str">
        <f>HYPERLINK("http://slimages.macys.com/is/image/MCY/12678589 ")</f>
        <v xml:space="preserve">http://slimages.macys.com/is/image/MCY/12678589 </v>
      </c>
    </row>
    <row r="46" spans="1:12" ht="39.950000000000003" customHeight="1" x14ac:dyDescent="0.25">
      <c r="A46" s="19" t="s">
        <v>907</v>
      </c>
      <c r="B46" s="20" t="s">
        <v>908</v>
      </c>
      <c r="C46" s="21">
        <v>6</v>
      </c>
      <c r="D46" s="22">
        <v>221.94</v>
      </c>
      <c r="E46" s="21" t="s">
        <v>909</v>
      </c>
      <c r="F46" s="20" t="s">
        <v>89</v>
      </c>
      <c r="G46" s="19"/>
      <c r="H46" s="20" t="s">
        <v>718</v>
      </c>
      <c r="I46" s="20" t="s">
        <v>910</v>
      </c>
      <c r="J46" s="20" t="s">
        <v>20</v>
      </c>
      <c r="K46" s="20" t="s">
        <v>911</v>
      </c>
      <c r="L46" s="23" t="str">
        <f>HYPERLINK("http://slimages.macys.com/is/image/MCY/15710327 ")</f>
        <v xml:space="preserve">http://slimages.macys.com/is/image/MCY/15710327 </v>
      </c>
    </row>
    <row r="47" spans="1:12" ht="39.950000000000003" customHeight="1" x14ac:dyDescent="0.25">
      <c r="A47" s="19" t="s">
        <v>912</v>
      </c>
      <c r="B47" s="20" t="s">
        <v>913</v>
      </c>
      <c r="C47" s="21">
        <v>1</v>
      </c>
      <c r="D47" s="22">
        <v>49.99</v>
      </c>
      <c r="E47" s="21" t="s">
        <v>914</v>
      </c>
      <c r="F47" s="20" t="s">
        <v>206</v>
      </c>
      <c r="G47" s="19" t="s">
        <v>915</v>
      </c>
      <c r="H47" s="20" t="s">
        <v>916</v>
      </c>
      <c r="I47" s="20" t="s">
        <v>917</v>
      </c>
      <c r="J47" s="20" t="s">
        <v>20</v>
      </c>
      <c r="K47" s="20" t="s">
        <v>918</v>
      </c>
      <c r="L47" s="23" t="str">
        <f>HYPERLINK("http://slimages.macys.com/is/image/MCY/13285480 ")</f>
        <v xml:space="preserve">http://slimages.macys.com/is/image/MCY/13285480 </v>
      </c>
    </row>
    <row r="48" spans="1:12" ht="39.950000000000003" customHeight="1" x14ac:dyDescent="0.25">
      <c r="A48" s="19" t="s">
        <v>919</v>
      </c>
      <c r="B48" s="20" t="s">
        <v>920</v>
      </c>
      <c r="C48" s="21">
        <v>1</v>
      </c>
      <c r="D48" s="22">
        <v>49.99</v>
      </c>
      <c r="E48" s="21" t="s">
        <v>921</v>
      </c>
      <c r="F48" s="20" t="s">
        <v>922</v>
      </c>
      <c r="G48" s="19" t="s">
        <v>915</v>
      </c>
      <c r="H48" s="20" t="s">
        <v>916</v>
      </c>
      <c r="I48" s="20" t="s">
        <v>917</v>
      </c>
      <c r="J48" s="20" t="s">
        <v>20</v>
      </c>
      <c r="K48" s="20" t="s">
        <v>918</v>
      </c>
      <c r="L48" s="23" t="str">
        <f>HYPERLINK("http://slimages.macys.com/is/image/MCY/13285480 ")</f>
        <v xml:space="preserve">http://slimages.macys.com/is/image/MCY/13285480 </v>
      </c>
    </row>
    <row r="49" spans="1:12" ht="39.950000000000003" customHeight="1" x14ac:dyDescent="0.25">
      <c r="A49" s="19" t="s">
        <v>923</v>
      </c>
      <c r="B49" s="20" t="s">
        <v>924</v>
      </c>
      <c r="C49" s="21">
        <v>1</v>
      </c>
      <c r="D49" s="22">
        <v>41.99</v>
      </c>
      <c r="E49" s="21" t="s">
        <v>925</v>
      </c>
      <c r="F49" s="20" t="s">
        <v>89</v>
      </c>
      <c r="G49" s="19"/>
      <c r="H49" s="20" t="s">
        <v>745</v>
      </c>
      <c r="I49" s="20" t="s">
        <v>926</v>
      </c>
      <c r="J49" s="20" t="s">
        <v>20</v>
      </c>
      <c r="K49" s="20" t="s">
        <v>927</v>
      </c>
      <c r="L49" s="23" t="str">
        <f>HYPERLINK("http://slimages.macys.com/is/image/MCY/11705231 ")</f>
        <v xml:space="preserve">http://slimages.macys.com/is/image/MCY/11705231 </v>
      </c>
    </row>
    <row r="50" spans="1:12" ht="39.950000000000003" customHeight="1" x14ac:dyDescent="0.25">
      <c r="A50" s="19" t="s">
        <v>928</v>
      </c>
      <c r="B50" s="20" t="s">
        <v>929</v>
      </c>
      <c r="C50" s="21">
        <v>1</v>
      </c>
      <c r="D50" s="22">
        <v>29.99</v>
      </c>
      <c r="E50" s="21">
        <v>221292</v>
      </c>
      <c r="F50" s="20" t="s">
        <v>89</v>
      </c>
      <c r="G50" s="19" t="s">
        <v>930</v>
      </c>
      <c r="H50" s="20" t="s">
        <v>831</v>
      </c>
      <c r="I50" s="20" t="s">
        <v>931</v>
      </c>
      <c r="J50" s="20" t="s">
        <v>20</v>
      </c>
      <c r="K50" s="20" t="s">
        <v>798</v>
      </c>
      <c r="L50" s="23" t="str">
        <f>HYPERLINK("http://slimages.macys.com/is/image/MCY/10276308 ")</f>
        <v xml:space="preserve">http://slimages.macys.com/is/image/MCY/10276308 </v>
      </c>
    </row>
    <row r="51" spans="1:12" ht="39.950000000000003" customHeight="1" x14ac:dyDescent="0.25">
      <c r="A51" s="19" t="s">
        <v>932</v>
      </c>
      <c r="B51" s="20" t="s">
        <v>933</v>
      </c>
      <c r="C51" s="21">
        <v>1</v>
      </c>
      <c r="D51" s="22">
        <v>48.99</v>
      </c>
      <c r="E51" s="21" t="s">
        <v>934</v>
      </c>
      <c r="F51" s="20" t="s">
        <v>555</v>
      </c>
      <c r="G51" s="19"/>
      <c r="H51" s="20" t="s">
        <v>745</v>
      </c>
      <c r="I51" s="20" t="s">
        <v>935</v>
      </c>
      <c r="J51" s="20" t="s">
        <v>20</v>
      </c>
      <c r="K51" s="20" t="s">
        <v>936</v>
      </c>
      <c r="L51" s="23" t="str">
        <f>HYPERLINK("http://slimages.macys.com/is/image/MCY/11543213 ")</f>
        <v xml:space="preserve">http://slimages.macys.com/is/image/MCY/11543213 </v>
      </c>
    </row>
    <row r="52" spans="1:12" ht="39.950000000000003" customHeight="1" x14ac:dyDescent="0.25">
      <c r="A52" s="19" t="s">
        <v>937</v>
      </c>
      <c r="B52" s="20" t="s">
        <v>938</v>
      </c>
      <c r="C52" s="21">
        <v>1</v>
      </c>
      <c r="D52" s="22">
        <v>34.99</v>
      </c>
      <c r="E52" s="21" t="s">
        <v>939</v>
      </c>
      <c r="F52" s="20" t="s">
        <v>755</v>
      </c>
      <c r="G52" s="19"/>
      <c r="H52" s="20" t="s">
        <v>940</v>
      </c>
      <c r="I52" s="20" t="s">
        <v>941</v>
      </c>
      <c r="J52" s="20" t="s">
        <v>20</v>
      </c>
      <c r="K52" s="20" t="s">
        <v>330</v>
      </c>
      <c r="L52" s="23" t="str">
        <f>HYPERLINK("http://slimages.macys.com/is/image/MCY/8192848 ")</f>
        <v xml:space="preserve">http://slimages.macys.com/is/image/MCY/8192848 </v>
      </c>
    </row>
    <row r="53" spans="1:12" ht="39.950000000000003" customHeight="1" x14ac:dyDescent="0.25">
      <c r="A53" s="19" t="s">
        <v>942</v>
      </c>
      <c r="B53" s="20" t="s">
        <v>943</v>
      </c>
      <c r="C53" s="21">
        <v>1</v>
      </c>
      <c r="D53" s="22">
        <v>34.99</v>
      </c>
      <c r="E53" s="21" t="s">
        <v>944</v>
      </c>
      <c r="F53" s="20" t="s">
        <v>89</v>
      </c>
      <c r="G53" s="19" t="s">
        <v>945</v>
      </c>
      <c r="H53" s="20" t="s">
        <v>772</v>
      </c>
      <c r="I53" s="20" t="s">
        <v>773</v>
      </c>
      <c r="J53" s="20" t="s">
        <v>20</v>
      </c>
      <c r="K53" s="20"/>
      <c r="L53" s="23" t="str">
        <f>HYPERLINK("http://slimages.macys.com/is/image/MCY/8456177 ")</f>
        <v xml:space="preserve">http://slimages.macys.com/is/image/MCY/8456177 </v>
      </c>
    </row>
    <row r="54" spans="1:12" ht="39.950000000000003" customHeight="1" x14ac:dyDescent="0.25">
      <c r="A54" s="19" t="s">
        <v>946</v>
      </c>
      <c r="B54" s="20" t="s">
        <v>947</v>
      </c>
      <c r="C54" s="21">
        <v>1</v>
      </c>
      <c r="D54" s="22">
        <v>24.99</v>
      </c>
      <c r="E54" s="21" t="s">
        <v>948</v>
      </c>
      <c r="F54" s="20" t="s">
        <v>349</v>
      </c>
      <c r="G54" s="19"/>
      <c r="H54" s="20" t="s">
        <v>718</v>
      </c>
      <c r="I54" s="20" t="s">
        <v>949</v>
      </c>
      <c r="J54" s="20" t="s">
        <v>20</v>
      </c>
      <c r="K54" s="20" t="s">
        <v>950</v>
      </c>
      <c r="L54" s="23" t="str">
        <f>HYPERLINK("http://slimages.macys.com/is/image/MCY/13742796 ")</f>
        <v xml:space="preserve">http://slimages.macys.com/is/image/MCY/13742796 </v>
      </c>
    </row>
    <row r="55" spans="1:12" ht="39.950000000000003" customHeight="1" x14ac:dyDescent="0.25">
      <c r="A55" s="19" t="s">
        <v>951</v>
      </c>
      <c r="B55" s="20" t="s">
        <v>952</v>
      </c>
      <c r="C55" s="21">
        <v>1</v>
      </c>
      <c r="D55" s="22">
        <v>29.99</v>
      </c>
      <c r="E55" s="21" t="s">
        <v>953</v>
      </c>
      <c r="F55" s="20" t="s">
        <v>407</v>
      </c>
      <c r="G55" s="19" t="s">
        <v>954</v>
      </c>
      <c r="H55" s="20" t="s">
        <v>916</v>
      </c>
      <c r="I55" s="20" t="s">
        <v>917</v>
      </c>
      <c r="J55" s="20" t="s">
        <v>20</v>
      </c>
      <c r="K55" s="20" t="s">
        <v>341</v>
      </c>
      <c r="L55" s="23" t="str">
        <f>HYPERLINK("http://slimages.macys.com/is/image/MCY/13285480 ")</f>
        <v xml:space="preserve">http://slimages.macys.com/is/image/MCY/13285480 </v>
      </c>
    </row>
    <row r="56" spans="1:12" ht="39.950000000000003" customHeight="1" x14ac:dyDescent="0.25">
      <c r="A56" s="19" t="s">
        <v>955</v>
      </c>
      <c r="B56" s="20" t="s">
        <v>956</v>
      </c>
      <c r="C56" s="21">
        <v>1</v>
      </c>
      <c r="D56" s="22">
        <v>29.99</v>
      </c>
      <c r="E56" s="21" t="s">
        <v>957</v>
      </c>
      <c r="F56" s="20" t="s">
        <v>922</v>
      </c>
      <c r="G56" s="19" t="s">
        <v>954</v>
      </c>
      <c r="H56" s="20" t="s">
        <v>916</v>
      </c>
      <c r="I56" s="20" t="s">
        <v>917</v>
      </c>
      <c r="J56" s="20" t="s">
        <v>20</v>
      </c>
      <c r="K56" s="20" t="s">
        <v>341</v>
      </c>
      <c r="L56" s="23" t="str">
        <f>HYPERLINK("http://slimages.macys.com/is/image/MCY/13285480 ")</f>
        <v xml:space="preserve">http://slimages.macys.com/is/image/MCY/13285480 </v>
      </c>
    </row>
    <row r="57" spans="1:12" ht="39.950000000000003" customHeight="1" x14ac:dyDescent="0.25">
      <c r="A57" s="19" t="s">
        <v>958</v>
      </c>
      <c r="B57" s="20" t="s">
        <v>959</v>
      </c>
      <c r="C57" s="21">
        <v>1</v>
      </c>
      <c r="D57" s="22">
        <v>27.99</v>
      </c>
      <c r="E57" s="21" t="s">
        <v>960</v>
      </c>
      <c r="F57" s="20" t="s">
        <v>555</v>
      </c>
      <c r="G57" s="19" t="s">
        <v>899</v>
      </c>
      <c r="H57" s="20" t="s">
        <v>712</v>
      </c>
      <c r="I57" s="20" t="s">
        <v>746</v>
      </c>
      <c r="J57" s="20" t="s">
        <v>20</v>
      </c>
      <c r="K57" s="20" t="s">
        <v>961</v>
      </c>
      <c r="L57" s="23" t="str">
        <f>HYPERLINK("http://slimages.macys.com/is/image/MCY/11923695 ")</f>
        <v xml:space="preserve">http://slimages.macys.com/is/image/MCY/11923695 </v>
      </c>
    </row>
    <row r="58" spans="1:12" ht="39.950000000000003" customHeight="1" x14ac:dyDescent="0.25">
      <c r="A58" s="19" t="s">
        <v>962</v>
      </c>
      <c r="B58" s="20" t="s">
        <v>963</v>
      </c>
      <c r="C58" s="21">
        <v>1</v>
      </c>
      <c r="D58" s="22">
        <v>27.99</v>
      </c>
      <c r="E58" s="21" t="s">
        <v>964</v>
      </c>
      <c r="F58" s="20" t="s">
        <v>965</v>
      </c>
      <c r="G58" s="19"/>
      <c r="H58" s="20" t="s">
        <v>745</v>
      </c>
      <c r="I58" s="20" t="s">
        <v>746</v>
      </c>
      <c r="J58" s="20" t="s">
        <v>20</v>
      </c>
      <c r="K58" s="20" t="s">
        <v>966</v>
      </c>
      <c r="L58" s="23" t="str">
        <f>HYPERLINK("http://slimages.macys.com/is/image/MCY/9534578 ")</f>
        <v xml:space="preserve">http://slimages.macys.com/is/image/MCY/9534578 </v>
      </c>
    </row>
    <row r="59" spans="1:12" ht="39.950000000000003" customHeight="1" x14ac:dyDescent="0.25">
      <c r="A59" s="19" t="s">
        <v>967</v>
      </c>
      <c r="B59" s="20" t="s">
        <v>968</v>
      </c>
      <c r="C59" s="21">
        <v>1</v>
      </c>
      <c r="D59" s="22">
        <v>27.99</v>
      </c>
      <c r="E59" s="21" t="s">
        <v>969</v>
      </c>
      <c r="F59" s="20" t="s">
        <v>159</v>
      </c>
      <c r="G59" s="19"/>
      <c r="H59" s="20" t="s">
        <v>745</v>
      </c>
      <c r="I59" s="20" t="s">
        <v>746</v>
      </c>
      <c r="J59" s="20" t="s">
        <v>20</v>
      </c>
      <c r="K59" s="20" t="s">
        <v>970</v>
      </c>
      <c r="L59" s="23" t="str">
        <f>HYPERLINK("http://slimages.macys.com/is/image/MCY/10112117 ")</f>
        <v xml:space="preserve">http://slimages.macys.com/is/image/MCY/10112117 </v>
      </c>
    </row>
    <row r="60" spans="1:12" ht="39.950000000000003" customHeight="1" x14ac:dyDescent="0.25">
      <c r="A60" s="19" t="s">
        <v>971</v>
      </c>
      <c r="B60" s="20" t="s">
        <v>972</v>
      </c>
      <c r="C60" s="21">
        <v>1</v>
      </c>
      <c r="D60" s="22">
        <v>24.99</v>
      </c>
      <c r="E60" s="21" t="s">
        <v>973</v>
      </c>
      <c r="F60" s="20" t="s">
        <v>289</v>
      </c>
      <c r="G60" s="19"/>
      <c r="H60" s="20" t="s">
        <v>745</v>
      </c>
      <c r="I60" s="20" t="s">
        <v>974</v>
      </c>
      <c r="J60" s="20" t="s">
        <v>20</v>
      </c>
      <c r="K60" s="20"/>
      <c r="L60" s="23" t="str">
        <f>HYPERLINK("http://slimages.macys.com/is/image/MCY/8754625 ")</f>
        <v xml:space="preserve">http://slimages.macys.com/is/image/MCY/8754625 </v>
      </c>
    </row>
    <row r="61" spans="1:12" ht="39.950000000000003" customHeight="1" x14ac:dyDescent="0.25">
      <c r="A61" s="19" t="s">
        <v>975</v>
      </c>
      <c r="B61" s="20" t="s">
        <v>976</v>
      </c>
      <c r="C61" s="21">
        <v>1</v>
      </c>
      <c r="D61" s="22">
        <v>20.99</v>
      </c>
      <c r="E61" s="21">
        <v>2833008</v>
      </c>
      <c r="F61" s="20" t="s">
        <v>977</v>
      </c>
      <c r="G61" s="19" t="s">
        <v>17</v>
      </c>
      <c r="H61" s="20" t="s">
        <v>712</v>
      </c>
      <c r="I61" s="20" t="s">
        <v>768</v>
      </c>
      <c r="J61" s="20" t="s">
        <v>20</v>
      </c>
      <c r="K61" s="20" t="s">
        <v>330</v>
      </c>
      <c r="L61" s="23" t="str">
        <f>HYPERLINK("http://slimages.macys.com/is/image/MCY/14457997 ")</f>
        <v xml:space="preserve">http://slimages.macys.com/is/image/MCY/14457997 </v>
      </c>
    </row>
    <row r="62" spans="1:12" ht="39.950000000000003" customHeight="1" x14ac:dyDescent="0.25">
      <c r="A62" s="19" t="s">
        <v>978</v>
      </c>
      <c r="B62" s="20" t="s">
        <v>979</v>
      </c>
      <c r="C62" s="21">
        <v>1</v>
      </c>
      <c r="D62" s="22">
        <v>23.99</v>
      </c>
      <c r="E62" s="21">
        <v>21000</v>
      </c>
      <c r="F62" s="20" t="s">
        <v>89</v>
      </c>
      <c r="G62" s="19"/>
      <c r="H62" s="20" t="s">
        <v>782</v>
      </c>
      <c r="I62" s="20" t="s">
        <v>835</v>
      </c>
      <c r="J62" s="20" t="s">
        <v>20</v>
      </c>
      <c r="K62" s="20" t="s">
        <v>980</v>
      </c>
      <c r="L62" s="23" t="str">
        <f>HYPERLINK("http://slimages.macys.com/is/image/MCY/14467172 ")</f>
        <v xml:space="preserve">http://slimages.macys.com/is/image/MCY/14467172 </v>
      </c>
    </row>
    <row r="63" spans="1:12" ht="39.950000000000003" customHeight="1" x14ac:dyDescent="0.25">
      <c r="A63" s="19" t="s">
        <v>981</v>
      </c>
      <c r="B63" s="20" t="s">
        <v>982</v>
      </c>
      <c r="C63" s="21">
        <v>1</v>
      </c>
      <c r="D63" s="22">
        <v>39.99</v>
      </c>
      <c r="E63" s="21" t="s">
        <v>983</v>
      </c>
      <c r="F63" s="20" t="s">
        <v>922</v>
      </c>
      <c r="G63" s="19"/>
      <c r="H63" s="20" t="s">
        <v>772</v>
      </c>
      <c r="I63" s="20" t="s">
        <v>773</v>
      </c>
      <c r="J63" s="20" t="s">
        <v>20</v>
      </c>
      <c r="K63" s="20" t="s">
        <v>984</v>
      </c>
      <c r="L63" s="23" t="str">
        <f>HYPERLINK("http://slimages.macys.com/is/image/MCY/8484844 ")</f>
        <v xml:space="preserve">http://slimages.macys.com/is/image/MCY/8484844 </v>
      </c>
    </row>
    <row r="64" spans="1:12" ht="39.950000000000003" customHeight="1" x14ac:dyDescent="0.25">
      <c r="A64" s="19" t="s">
        <v>985</v>
      </c>
      <c r="B64" s="20" t="s">
        <v>986</v>
      </c>
      <c r="C64" s="21">
        <v>2</v>
      </c>
      <c r="D64" s="22">
        <v>35.979999999999997</v>
      </c>
      <c r="E64" s="21" t="s">
        <v>987</v>
      </c>
      <c r="F64" s="20" t="s">
        <v>394</v>
      </c>
      <c r="G64" s="19" t="s">
        <v>954</v>
      </c>
      <c r="H64" s="20" t="s">
        <v>916</v>
      </c>
      <c r="I64" s="20" t="s">
        <v>917</v>
      </c>
      <c r="J64" s="20" t="s">
        <v>20</v>
      </c>
      <c r="K64" s="20" t="s">
        <v>798</v>
      </c>
      <c r="L64" s="23" t="str">
        <f>HYPERLINK("http://slimages.macys.com/is/image/MCY/3964365 ")</f>
        <v xml:space="preserve">http://slimages.macys.com/is/image/MCY/3964365 </v>
      </c>
    </row>
    <row r="65" spans="1:12" ht="39.950000000000003" customHeight="1" x14ac:dyDescent="0.25">
      <c r="A65" s="19" t="s">
        <v>988</v>
      </c>
      <c r="B65" s="20" t="s">
        <v>989</v>
      </c>
      <c r="C65" s="21">
        <v>2</v>
      </c>
      <c r="D65" s="22">
        <v>35.979999999999997</v>
      </c>
      <c r="E65" s="21" t="s">
        <v>990</v>
      </c>
      <c r="F65" s="20" t="s">
        <v>604</v>
      </c>
      <c r="G65" s="19" t="s">
        <v>954</v>
      </c>
      <c r="H65" s="20" t="s">
        <v>916</v>
      </c>
      <c r="I65" s="20" t="s">
        <v>917</v>
      </c>
      <c r="J65" s="20" t="s">
        <v>20</v>
      </c>
      <c r="K65" s="20" t="s">
        <v>798</v>
      </c>
      <c r="L65" s="23" t="str">
        <f>HYPERLINK("http://slimages.macys.com/is/image/MCY/3964365 ")</f>
        <v xml:space="preserve">http://slimages.macys.com/is/image/MCY/3964365 </v>
      </c>
    </row>
    <row r="66" spans="1:12" ht="39.950000000000003" customHeight="1" x14ac:dyDescent="0.25">
      <c r="A66" s="19" t="s">
        <v>991</v>
      </c>
      <c r="B66" s="20" t="s">
        <v>992</v>
      </c>
      <c r="C66" s="21">
        <v>1</v>
      </c>
      <c r="D66" s="22">
        <v>16.989999999999998</v>
      </c>
      <c r="E66" s="21" t="s">
        <v>993</v>
      </c>
      <c r="F66" s="20" t="s">
        <v>89</v>
      </c>
      <c r="G66" s="19" t="s">
        <v>954</v>
      </c>
      <c r="H66" s="20" t="s">
        <v>916</v>
      </c>
      <c r="I66" s="20" t="s">
        <v>917</v>
      </c>
      <c r="J66" s="20" t="s">
        <v>20</v>
      </c>
      <c r="K66" s="20" t="s">
        <v>798</v>
      </c>
      <c r="L66" s="23" t="str">
        <f>HYPERLINK("http://slimages.macys.com/is/image/MCY/12737864 ")</f>
        <v xml:space="preserve">http://slimages.macys.com/is/image/MCY/12737864 </v>
      </c>
    </row>
    <row r="67" spans="1:12" ht="39.950000000000003" customHeight="1" x14ac:dyDescent="0.25">
      <c r="A67" s="19" t="s">
        <v>994</v>
      </c>
      <c r="B67" s="20" t="s">
        <v>995</v>
      </c>
      <c r="C67" s="21">
        <v>1</v>
      </c>
      <c r="D67" s="22">
        <v>16.989999999999998</v>
      </c>
      <c r="E67" s="21" t="s">
        <v>996</v>
      </c>
      <c r="F67" s="20" t="s">
        <v>89</v>
      </c>
      <c r="G67" s="19"/>
      <c r="H67" s="20" t="s">
        <v>724</v>
      </c>
      <c r="I67" s="20" t="s">
        <v>997</v>
      </c>
      <c r="J67" s="20" t="s">
        <v>132</v>
      </c>
      <c r="K67" s="20"/>
      <c r="L67" s="23" t="str">
        <f>HYPERLINK("http://slimages.macys.com/is/image/MCY/3814766 ")</f>
        <v xml:space="preserve">http://slimages.macys.com/is/image/MCY/3814766 </v>
      </c>
    </row>
    <row r="68" spans="1:12" ht="39.950000000000003" customHeight="1" x14ac:dyDescent="0.25">
      <c r="A68" s="19" t="s">
        <v>998</v>
      </c>
      <c r="B68" s="20" t="s">
        <v>999</v>
      </c>
      <c r="C68" s="21">
        <v>1</v>
      </c>
      <c r="D68" s="22">
        <v>39.99</v>
      </c>
      <c r="E68" s="21" t="s">
        <v>1000</v>
      </c>
      <c r="F68" s="20" t="s">
        <v>89</v>
      </c>
      <c r="G68" s="19"/>
      <c r="H68" s="20" t="s">
        <v>772</v>
      </c>
      <c r="I68" s="20" t="s">
        <v>773</v>
      </c>
      <c r="J68" s="20" t="s">
        <v>20</v>
      </c>
      <c r="K68" s="20"/>
      <c r="L68" s="23" t="str">
        <f>HYPERLINK("http://slimages.macys.com/is/image/MCY/8433239 ")</f>
        <v xml:space="preserve">http://slimages.macys.com/is/image/MCY/8433239 </v>
      </c>
    </row>
    <row r="69" spans="1:12" ht="39.950000000000003" customHeight="1" x14ac:dyDescent="0.25">
      <c r="A69" s="19" t="s">
        <v>1001</v>
      </c>
      <c r="B69" s="20" t="s">
        <v>1002</v>
      </c>
      <c r="C69" s="21">
        <v>1</v>
      </c>
      <c r="D69" s="22">
        <v>9.99</v>
      </c>
      <c r="E69" s="21" t="s">
        <v>1003</v>
      </c>
      <c r="F69" s="20" t="s">
        <v>674</v>
      </c>
      <c r="G69" s="19" t="s">
        <v>954</v>
      </c>
      <c r="H69" s="20" t="s">
        <v>916</v>
      </c>
      <c r="I69" s="20" t="s">
        <v>1004</v>
      </c>
      <c r="J69" s="20" t="s">
        <v>20</v>
      </c>
      <c r="K69" s="20" t="s">
        <v>798</v>
      </c>
      <c r="L69" s="23" t="str">
        <f>HYPERLINK("http://slimages.macys.com/is/image/MCY/12723168 ")</f>
        <v xml:space="preserve">http://slimages.macys.com/is/image/MCY/12723168 </v>
      </c>
    </row>
    <row r="70" spans="1:12" ht="39.950000000000003" customHeight="1" x14ac:dyDescent="0.25">
      <c r="A70" s="19" t="s">
        <v>1005</v>
      </c>
      <c r="B70" s="20" t="s">
        <v>1006</v>
      </c>
      <c r="C70" s="21">
        <v>1</v>
      </c>
      <c r="D70" s="22">
        <v>9.99</v>
      </c>
      <c r="E70" s="21" t="s">
        <v>1007</v>
      </c>
      <c r="F70" s="20" t="s">
        <v>1008</v>
      </c>
      <c r="G70" s="19" t="s">
        <v>954</v>
      </c>
      <c r="H70" s="20" t="s">
        <v>916</v>
      </c>
      <c r="I70" s="20" t="s">
        <v>1004</v>
      </c>
      <c r="J70" s="20" t="s">
        <v>20</v>
      </c>
      <c r="K70" s="20" t="s">
        <v>798</v>
      </c>
      <c r="L70" s="23" t="str">
        <f>HYPERLINK("http://slimages.macys.com/is/image/MCY/12723168 ")</f>
        <v xml:space="preserve">http://slimages.macys.com/is/image/MCY/12723168 </v>
      </c>
    </row>
    <row r="71" spans="1:12" ht="39.950000000000003" customHeight="1" x14ac:dyDescent="0.25">
      <c r="A71" s="19" t="s">
        <v>1009</v>
      </c>
      <c r="B71" s="20" t="s">
        <v>1010</v>
      </c>
      <c r="C71" s="21">
        <v>1</v>
      </c>
      <c r="D71" s="22">
        <v>13.99</v>
      </c>
      <c r="E71" s="21" t="s">
        <v>1011</v>
      </c>
      <c r="F71" s="20" t="s">
        <v>78</v>
      </c>
      <c r="G71" s="19" t="s">
        <v>1012</v>
      </c>
      <c r="H71" s="20" t="s">
        <v>916</v>
      </c>
      <c r="I71" s="20" t="s">
        <v>917</v>
      </c>
      <c r="J71" s="20" t="s">
        <v>20</v>
      </c>
      <c r="K71" s="20" t="s">
        <v>798</v>
      </c>
      <c r="L71" s="23" t="str">
        <f>HYPERLINK("http://slimages.macys.com/is/image/MCY/3272675 ")</f>
        <v xml:space="preserve">http://slimages.macys.com/is/image/MCY/3272675 </v>
      </c>
    </row>
    <row r="72" spans="1:12" ht="39.950000000000003" customHeight="1" x14ac:dyDescent="0.25">
      <c r="A72" s="19" t="s">
        <v>1013</v>
      </c>
      <c r="B72" s="20" t="s">
        <v>1014</v>
      </c>
      <c r="C72" s="21">
        <v>2</v>
      </c>
      <c r="D72" s="22">
        <v>25.98</v>
      </c>
      <c r="E72" s="21" t="s">
        <v>1015</v>
      </c>
      <c r="F72" s="20" t="s">
        <v>106</v>
      </c>
      <c r="G72" s="19" t="s">
        <v>1012</v>
      </c>
      <c r="H72" s="20" t="s">
        <v>916</v>
      </c>
      <c r="I72" s="20" t="s">
        <v>917</v>
      </c>
      <c r="J72" s="20" t="s">
        <v>20</v>
      </c>
      <c r="K72" s="20" t="s">
        <v>798</v>
      </c>
      <c r="L72" s="23" t="str">
        <f>HYPERLINK("http://slimages.macys.com/is/image/MCY/12737814 ")</f>
        <v xml:space="preserve">http://slimages.macys.com/is/image/MCY/12737814 </v>
      </c>
    </row>
    <row r="73" spans="1:12" ht="39.950000000000003" customHeight="1" x14ac:dyDescent="0.25">
      <c r="A73" s="19" t="s">
        <v>1016</v>
      </c>
      <c r="B73" s="20" t="s">
        <v>1017</v>
      </c>
      <c r="C73" s="21">
        <v>2</v>
      </c>
      <c r="D73" s="22">
        <v>9.98</v>
      </c>
      <c r="E73" s="21">
        <v>1009787600</v>
      </c>
      <c r="F73" s="20" t="s">
        <v>674</v>
      </c>
      <c r="G73" s="19" t="s">
        <v>1012</v>
      </c>
      <c r="H73" s="20" t="s">
        <v>916</v>
      </c>
      <c r="I73" s="20" t="s">
        <v>1018</v>
      </c>
      <c r="J73" s="20"/>
      <c r="K73" s="20"/>
      <c r="L73" s="23" t="str">
        <f>HYPERLINK("http://slimages.macys.com/is/image/MCY/16520233 ")</f>
        <v xml:space="preserve">http://slimages.macys.com/is/image/MCY/16520233 </v>
      </c>
    </row>
    <row r="74" spans="1:12" ht="39.950000000000003" customHeight="1" x14ac:dyDescent="0.25">
      <c r="A74" s="19" t="s">
        <v>1019</v>
      </c>
      <c r="B74" s="20" t="s">
        <v>694</v>
      </c>
      <c r="C74" s="21">
        <v>15</v>
      </c>
      <c r="D74" s="22">
        <v>600</v>
      </c>
      <c r="E74" s="21"/>
      <c r="F74" s="20" t="s">
        <v>16</v>
      </c>
      <c r="G74" s="19" t="s">
        <v>17</v>
      </c>
      <c r="H74" s="20" t="s">
        <v>695</v>
      </c>
      <c r="I74" s="20" t="s">
        <v>696</v>
      </c>
      <c r="J74" s="20"/>
      <c r="K74" s="20"/>
      <c r="L74" s="23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7"/>
  <sheetViews>
    <sheetView workbookViewId="0">
      <selection activeCell="K7" sqref="K7"/>
    </sheetView>
  </sheetViews>
  <sheetFormatPr defaultRowHeight="15" x14ac:dyDescent="0.25"/>
  <cols>
    <col min="1" max="1" width="13.140625" style="24" bestFit="1" customWidth="1"/>
    <col min="2" max="2" width="26.140625" style="24" bestFit="1" customWidth="1"/>
    <col min="3" max="3" width="12.42578125" style="24" bestFit="1" customWidth="1"/>
    <col min="4" max="4" width="8.7109375" style="24" bestFit="1" customWidth="1"/>
    <col min="5" max="5" width="17.28515625" style="24" bestFit="1" customWidth="1"/>
    <col min="6" max="6" width="11.28515625" style="24" bestFit="1" customWidth="1"/>
    <col min="7" max="7" width="10.28515625" style="24" bestFit="1" customWidth="1"/>
    <col min="8" max="8" width="12.140625" style="24" customWidth="1"/>
    <col min="9" max="9" width="35.85546875" style="24" bestFit="1" customWidth="1"/>
    <col min="10" max="10" width="19.85546875" style="24" bestFit="1" customWidth="1"/>
    <col min="11" max="11" width="44.5703125" style="24" customWidth="1"/>
    <col min="12" max="12" width="28" style="24" customWidth="1"/>
    <col min="13" max="16384" width="9.140625" style="24"/>
  </cols>
  <sheetData>
    <row r="1" spans="1:12" ht="36" x14ac:dyDescent="0.25">
      <c r="A1" s="18" t="s">
        <v>2</v>
      </c>
      <c r="B1" s="18" t="s">
        <v>3</v>
      </c>
      <c r="C1" s="18" t="s">
        <v>4</v>
      </c>
      <c r="D1" s="18" t="s">
        <v>5</v>
      </c>
      <c r="E1" s="18" t="s">
        <v>6</v>
      </c>
      <c r="F1" s="18" t="s">
        <v>7</v>
      </c>
      <c r="G1" s="18" t="s">
        <v>8</v>
      </c>
      <c r="H1" s="18" t="s">
        <v>9</v>
      </c>
      <c r="I1" s="18" t="s">
        <v>10</v>
      </c>
      <c r="J1" s="18" t="s">
        <v>11</v>
      </c>
      <c r="K1" s="18" t="s">
        <v>12</v>
      </c>
      <c r="L1" s="18" t="s">
        <v>13</v>
      </c>
    </row>
    <row r="2" spans="1:12" ht="24" x14ac:dyDescent="0.25">
      <c r="A2" s="19" t="s">
        <v>1020</v>
      </c>
      <c r="B2" s="20" t="s">
        <v>1021</v>
      </c>
      <c r="C2" s="21">
        <v>1</v>
      </c>
      <c r="D2" s="22">
        <v>199.99</v>
      </c>
      <c r="E2" s="21" t="s">
        <v>1022</v>
      </c>
      <c r="F2" s="20" t="s">
        <v>922</v>
      </c>
      <c r="G2" s="19"/>
      <c r="H2" s="20" t="s">
        <v>700</v>
      </c>
      <c r="I2" s="20" t="s">
        <v>701</v>
      </c>
      <c r="J2" s="20"/>
      <c r="K2" s="20"/>
      <c r="L2" s="23" t="str">
        <f>HYPERLINK("http://slimages.macys.com/is/image/MCY/17787286 ")</f>
        <v xml:space="preserve">http://slimages.macys.com/is/image/MCY/17787286 </v>
      </c>
    </row>
    <row r="3" spans="1:12" ht="24" x14ac:dyDescent="0.25">
      <c r="A3" s="19" t="s">
        <v>1023</v>
      </c>
      <c r="B3" s="20" t="s">
        <v>1024</v>
      </c>
      <c r="C3" s="21">
        <v>1</v>
      </c>
      <c r="D3" s="22">
        <v>179.99</v>
      </c>
      <c r="E3" s="21" t="s">
        <v>1025</v>
      </c>
      <c r="F3" s="20" t="s">
        <v>555</v>
      </c>
      <c r="G3" s="19"/>
      <c r="H3" s="20" t="s">
        <v>700</v>
      </c>
      <c r="I3" s="20" t="s">
        <v>1026</v>
      </c>
      <c r="J3" s="20" t="s">
        <v>20</v>
      </c>
      <c r="K3" s="20" t="s">
        <v>1027</v>
      </c>
      <c r="L3" s="23" t="str">
        <f>HYPERLINK("http://slimages.macys.com/is/image/MCY/9708362 ")</f>
        <v xml:space="preserve">http://slimages.macys.com/is/image/MCY/9708362 </v>
      </c>
    </row>
    <row r="4" spans="1:12" ht="84" x14ac:dyDescent="0.25">
      <c r="A4" s="19" t="s">
        <v>1028</v>
      </c>
      <c r="B4" s="20" t="s">
        <v>1029</v>
      </c>
      <c r="C4" s="21">
        <v>1</v>
      </c>
      <c r="D4" s="22">
        <v>219.99</v>
      </c>
      <c r="E4" s="21" t="s">
        <v>1030</v>
      </c>
      <c r="F4" s="20" t="s">
        <v>1031</v>
      </c>
      <c r="G4" s="19"/>
      <c r="H4" s="20" t="s">
        <v>712</v>
      </c>
      <c r="I4" s="20" t="s">
        <v>746</v>
      </c>
      <c r="J4" s="20" t="s">
        <v>20</v>
      </c>
      <c r="K4" s="20" t="s">
        <v>1032</v>
      </c>
      <c r="L4" s="23" t="str">
        <f>HYPERLINK("http://slimages.macys.com/is/image/MCY/9536375 ")</f>
        <v xml:space="preserve">http://slimages.macys.com/is/image/MCY/9536375 </v>
      </c>
    </row>
    <row r="5" spans="1:12" ht="24" x14ac:dyDescent="0.25">
      <c r="A5" s="19" t="s">
        <v>1033</v>
      </c>
      <c r="B5" s="20" t="s">
        <v>1034</v>
      </c>
      <c r="C5" s="21">
        <v>1</v>
      </c>
      <c r="D5" s="22">
        <v>149.99</v>
      </c>
      <c r="E5" s="21" t="s">
        <v>1035</v>
      </c>
      <c r="F5" s="20" t="s">
        <v>1036</v>
      </c>
      <c r="G5" s="19"/>
      <c r="H5" s="20" t="s">
        <v>765</v>
      </c>
      <c r="I5" s="20" t="s">
        <v>1037</v>
      </c>
      <c r="J5" s="20" t="s">
        <v>20</v>
      </c>
      <c r="K5" s="20" t="s">
        <v>396</v>
      </c>
      <c r="L5" s="23" t="str">
        <f>HYPERLINK("http://slimages.macys.com/is/image/MCY/3813833 ")</f>
        <v xml:space="preserve">http://slimages.macys.com/is/image/MCY/3813833 </v>
      </c>
    </row>
    <row r="6" spans="1:12" ht="24" x14ac:dyDescent="0.25">
      <c r="A6" s="19" t="s">
        <v>1038</v>
      </c>
      <c r="B6" s="20" t="s">
        <v>1039</v>
      </c>
      <c r="C6" s="21">
        <v>1</v>
      </c>
      <c r="D6" s="22">
        <v>139.99</v>
      </c>
      <c r="E6" s="21" t="s">
        <v>1040</v>
      </c>
      <c r="F6" s="20" t="s">
        <v>674</v>
      </c>
      <c r="G6" s="19"/>
      <c r="H6" s="20" t="s">
        <v>765</v>
      </c>
      <c r="I6" s="20" t="s">
        <v>746</v>
      </c>
      <c r="J6" s="20" t="s">
        <v>20</v>
      </c>
      <c r="K6" s="20" t="s">
        <v>396</v>
      </c>
      <c r="L6" s="23" t="str">
        <f>HYPERLINK("http://slimages.macys.com/is/image/MCY/11856744 ")</f>
        <v xml:space="preserve">http://slimages.macys.com/is/image/MCY/11856744 </v>
      </c>
    </row>
    <row r="7" spans="1:12" ht="36" x14ac:dyDescent="0.25">
      <c r="A7" s="19" t="s">
        <v>1041</v>
      </c>
      <c r="B7" s="20" t="s">
        <v>1042</v>
      </c>
      <c r="C7" s="21">
        <v>2</v>
      </c>
      <c r="D7" s="22">
        <v>300</v>
      </c>
      <c r="E7" s="21" t="s">
        <v>1043</v>
      </c>
      <c r="F7" s="20" t="s">
        <v>483</v>
      </c>
      <c r="G7" s="19" t="s">
        <v>930</v>
      </c>
      <c r="H7" s="20" t="s">
        <v>700</v>
      </c>
      <c r="I7" s="20" t="s">
        <v>1044</v>
      </c>
      <c r="J7" s="20" t="s">
        <v>20</v>
      </c>
      <c r="K7" s="20" t="s">
        <v>1045</v>
      </c>
      <c r="L7" s="23" t="str">
        <f>HYPERLINK("http://slimages.macys.com/is/image/MCY/10333572 ")</f>
        <v xml:space="preserve">http://slimages.macys.com/is/image/MCY/10333572 </v>
      </c>
    </row>
    <row r="8" spans="1:12" ht="36" x14ac:dyDescent="0.25">
      <c r="A8" s="19" t="s">
        <v>1046</v>
      </c>
      <c r="B8" s="20" t="s">
        <v>1047</v>
      </c>
      <c r="C8" s="21">
        <v>1</v>
      </c>
      <c r="D8" s="22">
        <v>109.99</v>
      </c>
      <c r="E8" s="21" t="s">
        <v>1048</v>
      </c>
      <c r="F8" s="20" t="s">
        <v>1008</v>
      </c>
      <c r="G8" s="19"/>
      <c r="H8" s="20" t="s">
        <v>712</v>
      </c>
      <c r="I8" s="20" t="s">
        <v>746</v>
      </c>
      <c r="J8" s="20"/>
      <c r="K8" s="20"/>
      <c r="L8" s="23" t="str">
        <f>HYPERLINK("http://slimages.macys.com/is/image/MCY/18201783 ")</f>
        <v xml:space="preserve">http://slimages.macys.com/is/image/MCY/18201783 </v>
      </c>
    </row>
    <row r="9" spans="1:12" ht="36" x14ac:dyDescent="0.25">
      <c r="A9" s="19" t="s">
        <v>1049</v>
      </c>
      <c r="B9" s="20" t="s">
        <v>1050</v>
      </c>
      <c r="C9" s="21">
        <v>1</v>
      </c>
      <c r="D9" s="22">
        <v>119.99</v>
      </c>
      <c r="E9" s="21" t="s">
        <v>1051</v>
      </c>
      <c r="F9" s="20" t="s">
        <v>691</v>
      </c>
      <c r="G9" s="19"/>
      <c r="H9" s="20" t="s">
        <v>772</v>
      </c>
      <c r="I9" s="20" t="s">
        <v>773</v>
      </c>
      <c r="J9" s="20" t="s">
        <v>20</v>
      </c>
      <c r="K9" s="20" t="s">
        <v>1052</v>
      </c>
      <c r="L9" s="23" t="str">
        <f>HYPERLINK("http://slimages.macys.com/is/image/MCY/8433239 ")</f>
        <v xml:space="preserve">http://slimages.macys.com/is/image/MCY/8433239 </v>
      </c>
    </row>
    <row r="10" spans="1:12" ht="36" x14ac:dyDescent="0.25">
      <c r="A10" s="19" t="s">
        <v>1053</v>
      </c>
      <c r="B10" s="20" t="s">
        <v>1054</v>
      </c>
      <c r="C10" s="21">
        <v>1</v>
      </c>
      <c r="D10" s="22">
        <v>119.99</v>
      </c>
      <c r="E10" s="21" t="s">
        <v>1055</v>
      </c>
      <c r="F10" s="20" t="s">
        <v>206</v>
      </c>
      <c r="G10" s="19"/>
      <c r="H10" s="20" t="s">
        <v>772</v>
      </c>
      <c r="I10" s="20" t="s">
        <v>773</v>
      </c>
      <c r="J10" s="20" t="s">
        <v>20</v>
      </c>
      <c r="K10" s="20" t="s">
        <v>1052</v>
      </c>
      <c r="L10" s="23" t="str">
        <f>HYPERLINK("http://slimages.macys.com/is/image/MCY/8433239 ")</f>
        <v xml:space="preserve">http://slimages.macys.com/is/image/MCY/8433239 </v>
      </c>
    </row>
    <row r="11" spans="1:12" ht="36" x14ac:dyDescent="0.25">
      <c r="A11" s="19" t="s">
        <v>1056</v>
      </c>
      <c r="B11" s="20" t="s">
        <v>1057</v>
      </c>
      <c r="C11" s="21">
        <v>1</v>
      </c>
      <c r="D11" s="22">
        <v>99.99</v>
      </c>
      <c r="E11" s="21">
        <v>82275</v>
      </c>
      <c r="F11" s="20" t="s">
        <v>31</v>
      </c>
      <c r="G11" s="19"/>
      <c r="H11" s="20" t="s">
        <v>712</v>
      </c>
      <c r="I11" s="20" t="s">
        <v>1058</v>
      </c>
      <c r="J11" s="20"/>
      <c r="K11" s="20"/>
      <c r="L11" s="23" t="str">
        <f>HYPERLINK("http://slimages.macys.com/is/image/MCY/17866988 ")</f>
        <v xml:space="preserve">http://slimages.macys.com/is/image/MCY/17866988 </v>
      </c>
    </row>
    <row r="12" spans="1:12" ht="36" x14ac:dyDescent="0.25">
      <c r="A12" s="19" t="s">
        <v>1059</v>
      </c>
      <c r="B12" s="20" t="s">
        <v>1060</v>
      </c>
      <c r="C12" s="21">
        <v>1</v>
      </c>
      <c r="D12" s="22">
        <v>99.99</v>
      </c>
      <c r="E12" s="21">
        <v>81358</v>
      </c>
      <c r="F12" s="20" t="s">
        <v>31</v>
      </c>
      <c r="G12" s="19"/>
      <c r="H12" s="20" t="s">
        <v>712</v>
      </c>
      <c r="I12" s="20" t="s">
        <v>1058</v>
      </c>
      <c r="J12" s="20" t="s">
        <v>20</v>
      </c>
      <c r="K12" s="20" t="s">
        <v>1061</v>
      </c>
      <c r="L12" s="23" t="str">
        <f>HYPERLINK("http://slimages.macys.com/is/image/MCY/15003309 ")</f>
        <v xml:space="preserve">http://slimages.macys.com/is/image/MCY/15003309 </v>
      </c>
    </row>
    <row r="13" spans="1:12" ht="24" x14ac:dyDescent="0.25">
      <c r="A13" s="19" t="s">
        <v>1062</v>
      </c>
      <c r="B13" s="20" t="s">
        <v>1063</v>
      </c>
      <c r="C13" s="21">
        <v>1</v>
      </c>
      <c r="D13" s="22">
        <v>104.99</v>
      </c>
      <c r="E13" s="21" t="s">
        <v>1064</v>
      </c>
      <c r="F13" s="20" t="s">
        <v>89</v>
      </c>
      <c r="G13" s="19" t="s">
        <v>1065</v>
      </c>
      <c r="H13" s="20" t="s">
        <v>724</v>
      </c>
      <c r="I13" s="20" t="s">
        <v>1066</v>
      </c>
      <c r="J13" s="20" t="s">
        <v>1067</v>
      </c>
      <c r="K13" s="20" t="s">
        <v>1068</v>
      </c>
      <c r="L13" s="23" t="str">
        <f>HYPERLINK("http://slimages.macys.com/is/image/MCY/8589816 ")</f>
        <v xml:space="preserve">http://slimages.macys.com/is/image/MCY/8589816 </v>
      </c>
    </row>
    <row r="14" spans="1:12" ht="36" x14ac:dyDescent="0.25">
      <c r="A14" s="19" t="s">
        <v>1069</v>
      </c>
      <c r="B14" s="20" t="s">
        <v>1070</v>
      </c>
      <c r="C14" s="21">
        <v>1</v>
      </c>
      <c r="D14" s="22">
        <v>99.99</v>
      </c>
      <c r="E14" s="21" t="s">
        <v>1071</v>
      </c>
      <c r="F14" s="20" t="s">
        <v>922</v>
      </c>
      <c r="G14" s="19"/>
      <c r="H14" s="20" t="s">
        <v>772</v>
      </c>
      <c r="I14" s="20" t="s">
        <v>773</v>
      </c>
      <c r="J14" s="20" t="s">
        <v>20</v>
      </c>
      <c r="K14" s="20" t="s">
        <v>1052</v>
      </c>
      <c r="L14" s="23" t="str">
        <f>HYPERLINK("http://slimages.macys.com/is/image/MCY/11607139 ")</f>
        <v xml:space="preserve">http://slimages.macys.com/is/image/MCY/11607139 </v>
      </c>
    </row>
    <row r="15" spans="1:12" ht="36" x14ac:dyDescent="0.25">
      <c r="A15" s="19" t="s">
        <v>1072</v>
      </c>
      <c r="B15" s="20" t="s">
        <v>1073</v>
      </c>
      <c r="C15" s="21">
        <v>1</v>
      </c>
      <c r="D15" s="22">
        <v>83.99</v>
      </c>
      <c r="E15" s="21" t="s">
        <v>1074</v>
      </c>
      <c r="F15" s="20" t="s">
        <v>89</v>
      </c>
      <c r="G15" s="19"/>
      <c r="H15" s="20" t="s">
        <v>782</v>
      </c>
      <c r="I15" s="20" t="s">
        <v>1075</v>
      </c>
      <c r="J15" s="20" t="s">
        <v>20</v>
      </c>
      <c r="K15" s="20" t="s">
        <v>1076</v>
      </c>
      <c r="L15" s="23" t="str">
        <f>HYPERLINK("http://slimages.macys.com/is/image/MCY/14330060 ")</f>
        <v xml:space="preserve">http://slimages.macys.com/is/image/MCY/14330060 </v>
      </c>
    </row>
    <row r="16" spans="1:12" ht="24" x14ac:dyDescent="0.25">
      <c r="A16" s="19" t="s">
        <v>1077</v>
      </c>
      <c r="B16" s="20" t="s">
        <v>1078</v>
      </c>
      <c r="C16" s="21">
        <v>1</v>
      </c>
      <c r="D16" s="22">
        <v>74.989999999999995</v>
      </c>
      <c r="E16" s="21">
        <v>3322086</v>
      </c>
      <c r="F16" s="20" t="s">
        <v>289</v>
      </c>
      <c r="G16" s="19"/>
      <c r="H16" s="20" t="s">
        <v>745</v>
      </c>
      <c r="I16" s="20" t="s">
        <v>1079</v>
      </c>
      <c r="J16" s="20" t="s">
        <v>20</v>
      </c>
      <c r="K16" s="20" t="s">
        <v>1080</v>
      </c>
      <c r="L16" s="23" t="str">
        <f>HYPERLINK("http://slimages.macys.com/is/image/MCY/13325260 ")</f>
        <v xml:space="preserve">http://slimages.macys.com/is/image/MCY/13325260 </v>
      </c>
    </row>
    <row r="17" spans="1:12" ht="24" x14ac:dyDescent="0.25">
      <c r="A17" s="19" t="s">
        <v>1081</v>
      </c>
      <c r="B17" s="20" t="s">
        <v>1082</v>
      </c>
      <c r="C17" s="21">
        <v>1</v>
      </c>
      <c r="D17" s="22">
        <v>49.99</v>
      </c>
      <c r="E17" s="21" t="s">
        <v>1083</v>
      </c>
      <c r="F17" s="20" t="s">
        <v>922</v>
      </c>
      <c r="G17" s="19"/>
      <c r="H17" s="20" t="s">
        <v>718</v>
      </c>
      <c r="I17" s="20" t="s">
        <v>713</v>
      </c>
      <c r="J17" s="20"/>
      <c r="K17" s="20"/>
      <c r="L17" s="23" t="str">
        <f>HYPERLINK("http://slimages.macys.com/is/image/MCY/17960139 ")</f>
        <v xml:space="preserve">http://slimages.macys.com/is/image/MCY/17960139 </v>
      </c>
    </row>
    <row r="18" spans="1:12" ht="24" x14ac:dyDescent="0.25">
      <c r="A18" s="19" t="s">
        <v>1084</v>
      </c>
      <c r="B18" s="20" t="s">
        <v>1085</v>
      </c>
      <c r="C18" s="21">
        <v>1</v>
      </c>
      <c r="D18" s="22">
        <v>58.99</v>
      </c>
      <c r="E18" s="21" t="s">
        <v>1086</v>
      </c>
      <c r="F18" s="20" t="s">
        <v>555</v>
      </c>
      <c r="G18" s="19" t="s">
        <v>17</v>
      </c>
      <c r="H18" s="20" t="s">
        <v>782</v>
      </c>
      <c r="I18" s="20" t="s">
        <v>1087</v>
      </c>
      <c r="J18" s="20" t="s">
        <v>20</v>
      </c>
      <c r="K18" s="20" t="s">
        <v>1088</v>
      </c>
      <c r="L18" s="23" t="str">
        <f>HYPERLINK("http://slimages.macys.com/is/image/MCY/12681425 ")</f>
        <v xml:space="preserve">http://slimages.macys.com/is/image/MCY/12681425 </v>
      </c>
    </row>
    <row r="19" spans="1:12" ht="36" x14ac:dyDescent="0.25">
      <c r="A19" s="19" t="s">
        <v>1089</v>
      </c>
      <c r="B19" s="20" t="s">
        <v>1090</v>
      </c>
      <c r="C19" s="21">
        <v>1</v>
      </c>
      <c r="D19" s="22">
        <v>49.99</v>
      </c>
      <c r="E19" s="21" t="s">
        <v>1091</v>
      </c>
      <c r="F19" s="20" t="s">
        <v>89</v>
      </c>
      <c r="G19" s="19"/>
      <c r="H19" s="20" t="s">
        <v>712</v>
      </c>
      <c r="I19" s="20" t="s">
        <v>1092</v>
      </c>
      <c r="J19" s="20" t="s">
        <v>20</v>
      </c>
      <c r="K19" s="20" t="s">
        <v>1093</v>
      </c>
      <c r="L19" s="23" t="str">
        <f>HYPERLINK("http://slimages.macys.com/is/image/MCY/9330026 ")</f>
        <v xml:space="preserve">http://slimages.macys.com/is/image/MCY/9330026 </v>
      </c>
    </row>
    <row r="20" spans="1:12" ht="24" x14ac:dyDescent="0.25">
      <c r="A20" s="19" t="s">
        <v>1094</v>
      </c>
      <c r="B20" s="20" t="s">
        <v>1095</v>
      </c>
      <c r="C20" s="21">
        <v>1</v>
      </c>
      <c r="D20" s="22">
        <v>49.99</v>
      </c>
      <c r="E20" s="21" t="s">
        <v>1096</v>
      </c>
      <c r="F20" s="20" t="s">
        <v>600</v>
      </c>
      <c r="G20" s="19"/>
      <c r="H20" s="20" t="s">
        <v>718</v>
      </c>
      <c r="I20" s="20" t="s">
        <v>910</v>
      </c>
      <c r="J20" s="20" t="s">
        <v>20</v>
      </c>
      <c r="K20" s="20" t="s">
        <v>396</v>
      </c>
      <c r="L20" s="23" t="str">
        <f>HYPERLINK("http://slimages.macys.com/is/image/MCY/10284305 ")</f>
        <v xml:space="preserve">http://slimages.macys.com/is/image/MCY/10284305 </v>
      </c>
    </row>
    <row r="21" spans="1:12" ht="36" x14ac:dyDescent="0.25">
      <c r="A21" s="19" t="s">
        <v>1097</v>
      </c>
      <c r="B21" s="20" t="s">
        <v>1098</v>
      </c>
      <c r="C21" s="21">
        <v>1</v>
      </c>
      <c r="D21" s="22">
        <v>44.99</v>
      </c>
      <c r="E21" s="21" t="s">
        <v>1099</v>
      </c>
      <c r="F21" s="20" t="s">
        <v>54</v>
      </c>
      <c r="G21" s="19"/>
      <c r="H21" s="20" t="s">
        <v>940</v>
      </c>
      <c r="I21" s="20" t="s">
        <v>1100</v>
      </c>
      <c r="J21" s="20" t="s">
        <v>20</v>
      </c>
      <c r="K21" s="20" t="s">
        <v>918</v>
      </c>
      <c r="L21" s="23" t="str">
        <f>HYPERLINK("http://slimages.macys.com/is/image/MCY/11188331 ")</f>
        <v xml:space="preserve">http://slimages.macys.com/is/image/MCY/11188331 </v>
      </c>
    </row>
    <row r="22" spans="1:12" ht="24" x14ac:dyDescent="0.25">
      <c r="A22" s="19" t="s">
        <v>847</v>
      </c>
      <c r="B22" s="20" t="s">
        <v>848</v>
      </c>
      <c r="C22" s="21">
        <v>1</v>
      </c>
      <c r="D22" s="22">
        <v>52.99</v>
      </c>
      <c r="E22" s="21" t="s">
        <v>849</v>
      </c>
      <c r="F22" s="20" t="s">
        <v>850</v>
      </c>
      <c r="G22" s="19"/>
      <c r="H22" s="20" t="s">
        <v>765</v>
      </c>
      <c r="I22" s="20" t="s">
        <v>851</v>
      </c>
      <c r="J22" s="20" t="s">
        <v>20</v>
      </c>
      <c r="K22" s="20" t="s">
        <v>852</v>
      </c>
      <c r="L22" s="23" t="str">
        <f>HYPERLINK("http://slimages.macys.com/is/image/MCY/14476850 ")</f>
        <v xml:space="preserve">http://slimages.macys.com/is/image/MCY/14476850 </v>
      </c>
    </row>
    <row r="23" spans="1:12" ht="36" x14ac:dyDescent="0.25">
      <c r="A23" s="19" t="s">
        <v>1101</v>
      </c>
      <c r="B23" s="20" t="s">
        <v>1102</v>
      </c>
      <c r="C23" s="21">
        <v>1</v>
      </c>
      <c r="D23" s="22">
        <v>41.99</v>
      </c>
      <c r="E23" s="21" t="s">
        <v>1103</v>
      </c>
      <c r="F23" s="20" t="s">
        <v>691</v>
      </c>
      <c r="G23" s="19"/>
      <c r="H23" s="20" t="s">
        <v>718</v>
      </c>
      <c r="I23" s="20" t="s">
        <v>856</v>
      </c>
      <c r="J23" s="20" t="s">
        <v>20</v>
      </c>
      <c r="K23" s="20" t="s">
        <v>857</v>
      </c>
      <c r="L23" s="23" t="str">
        <f>HYPERLINK("http://slimages.macys.com/is/image/MCY/10436504 ")</f>
        <v xml:space="preserve">http://slimages.macys.com/is/image/MCY/10436504 </v>
      </c>
    </row>
    <row r="24" spans="1:12" ht="36" x14ac:dyDescent="0.25">
      <c r="A24" s="19" t="s">
        <v>1104</v>
      </c>
      <c r="B24" s="20" t="s">
        <v>1105</v>
      </c>
      <c r="C24" s="21">
        <v>1</v>
      </c>
      <c r="D24" s="22">
        <v>49.99</v>
      </c>
      <c r="E24" s="21" t="s">
        <v>1106</v>
      </c>
      <c r="F24" s="20" t="s">
        <v>394</v>
      </c>
      <c r="G24" s="19"/>
      <c r="H24" s="20" t="s">
        <v>712</v>
      </c>
      <c r="I24" s="20" t="s">
        <v>1092</v>
      </c>
      <c r="J24" s="20" t="s">
        <v>20</v>
      </c>
      <c r="K24" s="20" t="s">
        <v>396</v>
      </c>
      <c r="L24" s="23" t="str">
        <f>HYPERLINK("http://slimages.macys.com/is/image/MCY/8347198 ")</f>
        <v xml:space="preserve">http://slimages.macys.com/is/image/MCY/8347198 </v>
      </c>
    </row>
    <row r="25" spans="1:12" ht="36" x14ac:dyDescent="0.25">
      <c r="A25" s="19" t="s">
        <v>1107</v>
      </c>
      <c r="B25" s="20" t="s">
        <v>1108</v>
      </c>
      <c r="C25" s="21">
        <v>1</v>
      </c>
      <c r="D25" s="22">
        <v>89.99</v>
      </c>
      <c r="E25" s="21" t="s">
        <v>1109</v>
      </c>
      <c r="F25" s="20" t="s">
        <v>89</v>
      </c>
      <c r="G25" s="19"/>
      <c r="H25" s="20" t="s">
        <v>707</v>
      </c>
      <c r="I25" s="20" t="s">
        <v>1110</v>
      </c>
      <c r="J25" s="20" t="s">
        <v>20</v>
      </c>
      <c r="K25" s="20"/>
      <c r="L25" s="23" t="str">
        <f>HYPERLINK("http://slimages.macys.com/is/image/MCY/13042979 ")</f>
        <v xml:space="preserve">http://slimages.macys.com/is/image/MCY/13042979 </v>
      </c>
    </row>
    <row r="26" spans="1:12" ht="24" x14ac:dyDescent="0.25">
      <c r="A26" s="19" t="s">
        <v>1111</v>
      </c>
      <c r="B26" s="20" t="s">
        <v>1112</v>
      </c>
      <c r="C26" s="21">
        <v>1</v>
      </c>
      <c r="D26" s="22">
        <v>49.99</v>
      </c>
      <c r="E26" s="21" t="s">
        <v>1113</v>
      </c>
      <c r="F26" s="20" t="s">
        <v>394</v>
      </c>
      <c r="G26" s="19"/>
      <c r="H26" s="20" t="s">
        <v>718</v>
      </c>
      <c r="I26" s="20" t="s">
        <v>806</v>
      </c>
      <c r="J26" s="20"/>
      <c r="K26" s="20"/>
      <c r="L26" s="23" t="str">
        <f>HYPERLINK("http://slimages.macys.com/is/image/MCY/17968749 ")</f>
        <v xml:space="preserve">http://slimages.macys.com/is/image/MCY/17968749 </v>
      </c>
    </row>
    <row r="27" spans="1:12" ht="36" x14ac:dyDescent="0.25">
      <c r="A27" s="19" t="s">
        <v>1114</v>
      </c>
      <c r="B27" s="20" t="s">
        <v>1115</v>
      </c>
      <c r="C27" s="21">
        <v>1</v>
      </c>
      <c r="D27" s="22">
        <v>45.99</v>
      </c>
      <c r="E27" s="21" t="s">
        <v>1116</v>
      </c>
      <c r="F27" s="20" t="s">
        <v>89</v>
      </c>
      <c r="G27" s="19" t="s">
        <v>1117</v>
      </c>
      <c r="H27" s="20" t="s">
        <v>782</v>
      </c>
      <c r="I27" s="20" t="s">
        <v>783</v>
      </c>
      <c r="J27" s="20" t="s">
        <v>20</v>
      </c>
      <c r="K27" s="20" t="s">
        <v>936</v>
      </c>
      <c r="L27" s="23" t="str">
        <f>HYPERLINK("http://slimages.macys.com/is/image/MCY/11798777 ")</f>
        <v xml:space="preserve">http://slimages.macys.com/is/image/MCY/11798777 </v>
      </c>
    </row>
    <row r="28" spans="1:12" ht="24" x14ac:dyDescent="0.25">
      <c r="A28" s="19" t="s">
        <v>1118</v>
      </c>
      <c r="B28" s="20" t="s">
        <v>1119</v>
      </c>
      <c r="C28" s="21">
        <v>2</v>
      </c>
      <c r="D28" s="22">
        <v>75.98</v>
      </c>
      <c r="E28" s="21" t="s">
        <v>1120</v>
      </c>
      <c r="F28" s="20" t="s">
        <v>1121</v>
      </c>
      <c r="G28" s="19"/>
      <c r="H28" s="20" t="s">
        <v>745</v>
      </c>
      <c r="I28" s="20" t="s">
        <v>879</v>
      </c>
      <c r="J28" s="20" t="s">
        <v>20</v>
      </c>
      <c r="K28" s="20" t="s">
        <v>396</v>
      </c>
      <c r="L28" s="23" t="str">
        <f>HYPERLINK("http://slimages.macys.com/is/image/MCY/9168183 ")</f>
        <v xml:space="preserve">http://slimages.macys.com/is/image/MCY/9168183 </v>
      </c>
    </row>
    <row r="29" spans="1:12" ht="36" x14ac:dyDescent="0.25">
      <c r="A29" s="19" t="s">
        <v>1122</v>
      </c>
      <c r="B29" s="20" t="s">
        <v>1123</v>
      </c>
      <c r="C29" s="21">
        <v>1</v>
      </c>
      <c r="D29" s="22">
        <v>39.99</v>
      </c>
      <c r="E29" s="21">
        <v>100109272</v>
      </c>
      <c r="F29" s="20" t="s">
        <v>1124</v>
      </c>
      <c r="G29" s="19"/>
      <c r="H29" s="20" t="s">
        <v>1125</v>
      </c>
      <c r="I29" s="20" t="s">
        <v>1126</v>
      </c>
      <c r="J29" s="20"/>
      <c r="K29" s="20"/>
      <c r="L29" s="23" t="str">
        <f>HYPERLINK("http://slimages.macys.com/is/image/MCY/17902269 ")</f>
        <v xml:space="preserve">http://slimages.macys.com/is/image/MCY/17902269 </v>
      </c>
    </row>
    <row r="30" spans="1:12" ht="36" x14ac:dyDescent="0.25">
      <c r="A30" s="19" t="s">
        <v>1127</v>
      </c>
      <c r="B30" s="20" t="s">
        <v>1128</v>
      </c>
      <c r="C30" s="21">
        <v>1</v>
      </c>
      <c r="D30" s="22">
        <v>39.99</v>
      </c>
      <c r="E30" s="21">
        <v>1003125200</v>
      </c>
      <c r="F30" s="20" t="s">
        <v>89</v>
      </c>
      <c r="G30" s="19"/>
      <c r="H30" s="20" t="s">
        <v>916</v>
      </c>
      <c r="I30" s="20" t="s">
        <v>1129</v>
      </c>
      <c r="J30" s="20" t="s">
        <v>20</v>
      </c>
      <c r="K30" s="20" t="s">
        <v>798</v>
      </c>
      <c r="L30" s="23" t="str">
        <f>HYPERLINK("http://slimages.macys.com/is/image/MCY/9836838 ")</f>
        <v xml:space="preserve">http://slimages.macys.com/is/image/MCY/9836838 </v>
      </c>
    </row>
    <row r="31" spans="1:12" ht="24" x14ac:dyDescent="0.25">
      <c r="A31" s="19" t="s">
        <v>1130</v>
      </c>
      <c r="B31" s="20" t="s">
        <v>1131</v>
      </c>
      <c r="C31" s="21">
        <v>1</v>
      </c>
      <c r="D31" s="22">
        <v>28.99</v>
      </c>
      <c r="E31" s="21" t="s">
        <v>1132</v>
      </c>
      <c r="F31" s="20" t="s">
        <v>394</v>
      </c>
      <c r="G31" s="19"/>
      <c r="H31" s="20" t="s">
        <v>718</v>
      </c>
      <c r="I31" s="20" t="s">
        <v>1133</v>
      </c>
      <c r="J31" s="20" t="s">
        <v>20</v>
      </c>
      <c r="K31" s="20" t="s">
        <v>396</v>
      </c>
      <c r="L31" s="23" t="str">
        <f>HYPERLINK("http://slimages.macys.com/is/image/MCY/12157292 ")</f>
        <v xml:space="preserve">http://slimages.macys.com/is/image/MCY/12157292 </v>
      </c>
    </row>
    <row r="32" spans="1:12" ht="24" x14ac:dyDescent="0.25">
      <c r="A32" s="19" t="s">
        <v>1134</v>
      </c>
      <c r="B32" s="20" t="s">
        <v>1135</v>
      </c>
      <c r="C32" s="21">
        <v>1</v>
      </c>
      <c r="D32" s="22">
        <v>29.99</v>
      </c>
      <c r="E32" s="21" t="s">
        <v>1136</v>
      </c>
      <c r="F32" s="20" t="s">
        <v>555</v>
      </c>
      <c r="G32" s="19"/>
      <c r="H32" s="20" t="s">
        <v>865</v>
      </c>
      <c r="I32" s="20" t="s">
        <v>746</v>
      </c>
      <c r="J32" s="20" t="s">
        <v>20</v>
      </c>
      <c r="K32" s="20" t="s">
        <v>911</v>
      </c>
      <c r="L32" s="23" t="str">
        <f>HYPERLINK("http://slimages.macys.com/is/image/MCY/10082430 ")</f>
        <v xml:space="preserve">http://slimages.macys.com/is/image/MCY/10082430 </v>
      </c>
    </row>
    <row r="33" spans="1:12" ht="24" x14ac:dyDescent="0.25">
      <c r="A33" s="19" t="s">
        <v>1137</v>
      </c>
      <c r="B33" s="20" t="s">
        <v>1138</v>
      </c>
      <c r="C33" s="21">
        <v>1</v>
      </c>
      <c r="D33" s="22">
        <v>29.99</v>
      </c>
      <c r="E33" s="21" t="s">
        <v>1139</v>
      </c>
      <c r="F33" s="20"/>
      <c r="G33" s="19"/>
      <c r="H33" s="20" t="s">
        <v>745</v>
      </c>
      <c r="I33" s="20" t="s">
        <v>1140</v>
      </c>
      <c r="J33" s="20"/>
      <c r="K33" s="20"/>
      <c r="L33" s="23" t="str">
        <f>HYPERLINK("http://slimages.macys.com/is/image/MCY/18041517 ")</f>
        <v xml:space="preserve">http://slimages.macys.com/is/image/MCY/18041517 </v>
      </c>
    </row>
    <row r="34" spans="1:12" ht="36" x14ac:dyDescent="0.25">
      <c r="A34" s="19" t="s">
        <v>1141</v>
      </c>
      <c r="B34" s="20" t="s">
        <v>1142</v>
      </c>
      <c r="C34" s="21">
        <v>1</v>
      </c>
      <c r="D34" s="22">
        <v>43.99</v>
      </c>
      <c r="E34" s="21" t="s">
        <v>1143</v>
      </c>
      <c r="F34" s="20" t="s">
        <v>394</v>
      </c>
      <c r="G34" s="19" t="s">
        <v>1144</v>
      </c>
      <c r="H34" s="20" t="s">
        <v>745</v>
      </c>
      <c r="I34" s="20" t="s">
        <v>935</v>
      </c>
      <c r="J34" s="20" t="s">
        <v>20</v>
      </c>
      <c r="K34" s="20" t="s">
        <v>798</v>
      </c>
      <c r="L34" s="23" t="str">
        <f>HYPERLINK("http://slimages.macys.com/is/image/MCY/11495102 ")</f>
        <v xml:space="preserve">http://slimages.macys.com/is/image/MCY/11495102 </v>
      </c>
    </row>
    <row r="35" spans="1:12" ht="36" x14ac:dyDescent="0.25">
      <c r="A35" s="19" t="s">
        <v>1145</v>
      </c>
      <c r="B35" s="20" t="s">
        <v>1146</v>
      </c>
      <c r="C35" s="21">
        <v>1</v>
      </c>
      <c r="D35" s="22">
        <v>39.99</v>
      </c>
      <c r="E35" s="21" t="s">
        <v>1147</v>
      </c>
      <c r="F35" s="20" t="s">
        <v>1036</v>
      </c>
      <c r="G35" s="19"/>
      <c r="H35" s="20" t="s">
        <v>772</v>
      </c>
      <c r="I35" s="20" t="s">
        <v>1148</v>
      </c>
      <c r="J35" s="20" t="s">
        <v>20</v>
      </c>
      <c r="K35" s="20"/>
      <c r="L35" s="23" t="str">
        <f>HYPERLINK("http://slimages.macys.com/is/image/MCY/10015969 ")</f>
        <v xml:space="preserve">http://slimages.macys.com/is/image/MCY/10015969 </v>
      </c>
    </row>
    <row r="36" spans="1:12" ht="36" x14ac:dyDescent="0.25">
      <c r="A36" s="19" t="s">
        <v>1149</v>
      </c>
      <c r="B36" s="20" t="s">
        <v>1150</v>
      </c>
      <c r="C36" s="21">
        <v>2</v>
      </c>
      <c r="D36" s="22">
        <v>59.98</v>
      </c>
      <c r="E36" s="21" t="s">
        <v>1151</v>
      </c>
      <c r="F36" s="20" t="s">
        <v>555</v>
      </c>
      <c r="G36" s="19" t="s">
        <v>17</v>
      </c>
      <c r="H36" s="20" t="s">
        <v>765</v>
      </c>
      <c r="I36" s="20" t="s">
        <v>1152</v>
      </c>
      <c r="J36" s="20" t="s">
        <v>20</v>
      </c>
      <c r="K36" s="20" t="s">
        <v>396</v>
      </c>
      <c r="L36" s="23" t="str">
        <f>HYPERLINK("http://slimages.macys.com/is/image/MCY/8589764 ")</f>
        <v xml:space="preserve">http://slimages.macys.com/is/image/MCY/8589764 </v>
      </c>
    </row>
    <row r="37" spans="1:12" ht="36" x14ac:dyDescent="0.25">
      <c r="A37" s="19" t="s">
        <v>1153</v>
      </c>
      <c r="B37" s="20" t="s">
        <v>1154</v>
      </c>
      <c r="C37" s="21">
        <v>1</v>
      </c>
      <c r="D37" s="22">
        <v>12.99</v>
      </c>
      <c r="E37" s="21" t="s">
        <v>1155</v>
      </c>
      <c r="F37" s="20" t="s">
        <v>31</v>
      </c>
      <c r="G37" s="19" t="s">
        <v>1156</v>
      </c>
      <c r="H37" s="20" t="s">
        <v>1157</v>
      </c>
      <c r="I37" s="20" t="s">
        <v>1158</v>
      </c>
      <c r="J37" s="20" t="s">
        <v>20</v>
      </c>
      <c r="K37" s="20" t="s">
        <v>330</v>
      </c>
      <c r="L37" s="23" t="str">
        <f>HYPERLINK("http://slimages.macys.com/is/image/MCY/9513121 ")</f>
        <v xml:space="preserve">http://slimages.macys.com/is/image/MCY/9513121 </v>
      </c>
    </row>
    <row r="38" spans="1:12" ht="24" x14ac:dyDescent="0.25">
      <c r="A38" s="19" t="s">
        <v>1159</v>
      </c>
      <c r="B38" s="20" t="s">
        <v>1160</v>
      </c>
      <c r="C38" s="21">
        <v>1</v>
      </c>
      <c r="D38" s="22">
        <v>12.99</v>
      </c>
      <c r="E38" s="21" t="s">
        <v>1161</v>
      </c>
      <c r="F38" s="20" t="s">
        <v>394</v>
      </c>
      <c r="G38" s="19" t="s">
        <v>17</v>
      </c>
      <c r="H38" s="20" t="s">
        <v>745</v>
      </c>
      <c r="I38" s="20" t="s">
        <v>1162</v>
      </c>
      <c r="J38" s="20"/>
      <c r="K38" s="20"/>
      <c r="L38" s="23" t="str">
        <f>HYPERLINK("http://slimages.macys.com/is/image/MCY/17155343 ")</f>
        <v xml:space="preserve">http://slimages.macys.com/is/image/MCY/17155343 </v>
      </c>
    </row>
    <row r="39" spans="1:12" ht="36" x14ac:dyDescent="0.25">
      <c r="A39" s="19" t="s">
        <v>1163</v>
      </c>
      <c r="B39" s="20" t="s">
        <v>1164</v>
      </c>
      <c r="C39" s="21">
        <v>2</v>
      </c>
      <c r="D39" s="22">
        <v>15.98</v>
      </c>
      <c r="E39" s="21" t="s">
        <v>1165</v>
      </c>
      <c r="F39" s="20" t="s">
        <v>394</v>
      </c>
      <c r="G39" s="19" t="s">
        <v>954</v>
      </c>
      <c r="H39" s="20" t="s">
        <v>940</v>
      </c>
      <c r="I39" s="20" t="s">
        <v>1166</v>
      </c>
      <c r="J39" s="20"/>
      <c r="K39" s="20"/>
      <c r="L39" s="23" t="str">
        <f>HYPERLINK("http://slimages.macys.com/is/image/MCY/17492917 ")</f>
        <v xml:space="preserve">http://slimages.macys.com/is/image/MCY/17492917 </v>
      </c>
    </row>
    <row r="40" spans="1:12" ht="36" x14ac:dyDescent="0.25">
      <c r="A40" s="19" t="s">
        <v>1167</v>
      </c>
      <c r="B40" s="20" t="s">
        <v>1168</v>
      </c>
      <c r="C40" s="21">
        <v>2</v>
      </c>
      <c r="D40" s="22">
        <v>19.98</v>
      </c>
      <c r="E40" s="21" t="s">
        <v>1169</v>
      </c>
      <c r="F40" s="20" t="s">
        <v>89</v>
      </c>
      <c r="G40" s="19" t="s">
        <v>954</v>
      </c>
      <c r="H40" s="20" t="s">
        <v>916</v>
      </c>
      <c r="I40" s="20" t="s">
        <v>1004</v>
      </c>
      <c r="J40" s="20" t="s">
        <v>20</v>
      </c>
      <c r="K40" s="20" t="s">
        <v>798</v>
      </c>
      <c r="L40" s="23" t="str">
        <f>HYPERLINK("http://slimages.macys.com/is/image/MCY/12723168 ")</f>
        <v xml:space="preserve">http://slimages.macys.com/is/image/MCY/12723168 </v>
      </c>
    </row>
    <row r="41" spans="1:12" ht="36" x14ac:dyDescent="0.25">
      <c r="A41" s="19" t="s">
        <v>1170</v>
      </c>
      <c r="B41" s="20" t="s">
        <v>1171</v>
      </c>
      <c r="C41" s="21">
        <v>2</v>
      </c>
      <c r="D41" s="22">
        <v>11.98</v>
      </c>
      <c r="E41" s="21" t="s">
        <v>1172</v>
      </c>
      <c r="F41" s="20" t="s">
        <v>394</v>
      </c>
      <c r="G41" s="19" t="s">
        <v>1012</v>
      </c>
      <c r="H41" s="20" t="s">
        <v>940</v>
      </c>
      <c r="I41" s="20" t="s">
        <v>1166</v>
      </c>
      <c r="J41" s="20"/>
      <c r="K41" s="20"/>
      <c r="L41" s="23" t="str">
        <f>HYPERLINK("http://slimages.macys.com/is/image/MCY/17493081 ")</f>
        <v xml:space="preserve">http://slimages.macys.com/is/image/MCY/17493081 </v>
      </c>
    </row>
    <row r="42" spans="1:12" ht="36" x14ac:dyDescent="0.25">
      <c r="A42" s="19" t="s">
        <v>1173</v>
      </c>
      <c r="B42" s="20" t="s">
        <v>1174</v>
      </c>
      <c r="C42" s="21">
        <v>2</v>
      </c>
      <c r="D42" s="22">
        <v>15.98</v>
      </c>
      <c r="E42" s="21" t="s">
        <v>1175</v>
      </c>
      <c r="F42" s="20" t="s">
        <v>89</v>
      </c>
      <c r="G42" s="19" t="s">
        <v>1012</v>
      </c>
      <c r="H42" s="20" t="s">
        <v>916</v>
      </c>
      <c r="I42" s="20" t="s">
        <v>1004</v>
      </c>
      <c r="J42" s="20" t="s">
        <v>20</v>
      </c>
      <c r="K42" s="20" t="s">
        <v>798</v>
      </c>
      <c r="L42" s="23" t="str">
        <f>HYPERLINK("http://slimages.macys.com/is/image/MCY/8128182 ")</f>
        <v xml:space="preserve">http://slimages.macys.com/is/image/MCY/8128182 </v>
      </c>
    </row>
    <row r="43" spans="1:12" ht="36" x14ac:dyDescent="0.25">
      <c r="A43" s="19" t="s">
        <v>1176</v>
      </c>
      <c r="B43" s="20" t="s">
        <v>1177</v>
      </c>
      <c r="C43" s="21">
        <v>3</v>
      </c>
      <c r="D43" s="22">
        <v>17.97</v>
      </c>
      <c r="E43" s="21" t="s">
        <v>1178</v>
      </c>
      <c r="F43" s="20" t="s">
        <v>1008</v>
      </c>
      <c r="G43" s="19" t="s">
        <v>1179</v>
      </c>
      <c r="H43" s="20" t="s">
        <v>916</v>
      </c>
      <c r="I43" s="20" t="s">
        <v>1004</v>
      </c>
      <c r="J43" s="20" t="s">
        <v>20</v>
      </c>
      <c r="K43" s="20" t="s">
        <v>798</v>
      </c>
      <c r="L43" s="23" t="str">
        <f>HYPERLINK("http://slimages.macys.com/is/image/MCY/12723169 ")</f>
        <v xml:space="preserve">http://slimages.macys.com/is/image/MCY/12723169 </v>
      </c>
    </row>
    <row r="44" spans="1:12" ht="36" x14ac:dyDescent="0.25">
      <c r="A44" s="19" t="s">
        <v>1180</v>
      </c>
      <c r="B44" s="20" t="s">
        <v>1181</v>
      </c>
      <c r="C44" s="21">
        <v>1</v>
      </c>
      <c r="D44" s="22">
        <v>5.99</v>
      </c>
      <c r="E44" s="21" t="s">
        <v>1182</v>
      </c>
      <c r="F44" s="20" t="s">
        <v>89</v>
      </c>
      <c r="G44" s="19" t="s">
        <v>1179</v>
      </c>
      <c r="H44" s="20" t="s">
        <v>916</v>
      </c>
      <c r="I44" s="20" t="s">
        <v>1004</v>
      </c>
      <c r="J44" s="20" t="s">
        <v>20</v>
      </c>
      <c r="K44" s="20" t="s">
        <v>798</v>
      </c>
      <c r="L44" s="23" t="str">
        <f>HYPERLINK("http://slimages.macys.com/is/image/MCY/12723169 ")</f>
        <v xml:space="preserve">http://slimages.macys.com/is/image/MCY/12723169 </v>
      </c>
    </row>
    <row r="45" spans="1:12" ht="24" x14ac:dyDescent="0.25">
      <c r="A45" s="19" t="s">
        <v>1019</v>
      </c>
      <c r="B45" s="20" t="s">
        <v>694</v>
      </c>
      <c r="C45" s="21">
        <v>7</v>
      </c>
      <c r="D45" s="22">
        <v>280</v>
      </c>
      <c r="E45" s="21"/>
      <c r="F45" s="20" t="s">
        <v>16</v>
      </c>
      <c r="G45" s="19" t="s">
        <v>17</v>
      </c>
      <c r="H45" s="20" t="s">
        <v>695</v>
      </c>
      <c r="I45" s="20" t="s">
        <v>696</v>
      </c>
      <c r="J45" s="20"/>
      <c r="K45" s="20"/>
      <c r="L45" s="23"/>
    </row>
    <row r="46" spans="1:12" ht="24" x14ac:dyDescent="0.25">
      <c r="A46" s="19" t="s">
        <v>1183</v>
      </c>
      <c r="B46" s="20" t="s">
        <v>1184</v>
      </c>
      <c r="C46" s="21">
        <v>1</v>
      </c>
      <c r="D46" s="22">
        <v>31.99</v>
      </c>
      <c r="E46" s="21" t="s">
        <v>1185</v>
      </c>
      <c r="F46" s="20" t="s">
        <v>1124</v>
      </c>
      <c r="G46" s="19" t="s">
        <v>17</v>
      </c>
      <c r="H46" s="20" t="s">
        <v>718</v>
      </c>
      <c r="I46" s="20" t="s">
        <v>1186</v>
      </c>
      <c r="J46" s="20"/>
      <c r="K46" s="20"/>
      <c r="L46" s="23"/>
    </row>
    <row r="47" spans="1:12" x14ac:dyDescent="0.25">
      <c r="A47" s="13"/>
      <c r="B47" s="14"/>
      <c r="C47" s="15"/>
      <c r="D47" s="16"/>
      <c r="E47" s="15"/>
      <c r="F47" s="14"/>
      <c r="G47" s="13"/>
      <c r="H47" s="14"/>
      <c r="I47" s="14"/>
      <c r="J47" s="14"/>
      <c r="K47" s="14"/>
      <c r="L47" s="17"/>
    </row>
    <row r="48" spans="1:12" x14ac:dyDescent="0.25">
      <c r="A48" s="13"/>
      <c r="B48" s="14"/>
      <c r="C48" s="15"/>
      <c r="D48" s="16"/>
      <c r="E48" s="15"/>
      <c r="F48" s="14"/>
      <c r="G48" s="13"/>
      <c r="H48" s="14"/>
      <c r="I48" s="14"/>
      <c r="J48" s="14"/>
      <c r="K48" s="14"/>
      <c r="L48" s="17"/>
    </row>
    <row r="49" spans="1:12" x14ac:dyDescent="0.25">
      <c r="A49" s="13"/>
      <c r="B49" s="14"/>
      <c r="C49" s="15"/>
      <c r="D49" s="16"/>
      <c r="E49" s="15"/>
      <c r="F49" s="14"/>
      <c r="G49" s="13"/>
      <c r="H49" s="14"/>
      <c r="I49" s="14"/>
      <c r="J49" s="14"/>
      <c r="K49" s="14"/>
      <c r="L49" s="17"/>
    </row>
    <row r="50" spans="1:12" x14ac:dyDescent="0.25">
      <c r="A50" s="13"/>
      <c r="B50" s="14"/>
      <c r="C50" s="15"/>
      <c r="D50" s="16"/>
      <c r="E50" s="15"/>
      <c r="F50" s="14"/>
      <c r="G50" s="13"/>
      <c r="H50" s="14"/>
      <c r="I50" s="14"/>
      <c r="J50" s="14"/>
      <c r="K50" s="14"/>
      <c r="L50" s="17"/>
    </row>
    <row r="51" spans="1:12" x14ac:dyDescent="0.25">
      <c r="A51" s="13"/>
      <c r="B51" s="14"/>
      <c r="C51" s="15"/>
      <c r="D51" s="16"/>
      <c r="E51" s="15"/>
      <c r="F51" s="14"/>
      <c r="G51" s="13"/>
      <c r="H51" s="14"/>
      <c r="I51" s="14"/>
      <c r="J51" s="14"/>
      <c r="K51" s="14"/>
      <c r="L51" s="17"/>
    </row>
    <row r="52" spans="1:12" x14ac:dyDescent="0.25">
      <c r="A52" s="13"/>
      <c r="B52" s="14"/>
      <c r="C52" s="15"/>
      <c r="D52" s="16"/>
      <c r="E52" s="15"/>
      <c r="F52" s="14"/>
      <c r="G52" s="13"/>
      <c r="H52" s="14"/>
      <c r="I52" s="14"/>
      <c r="J52" s="14"/>
      <c r="K52" s="14"/>
      <c r="L52" s="17"/>
    </row>
    <row r="53" spans="1:12" x14ac:dyDescent="0.25">
      <c r="A53" s="13"/>
      <c r="B53" s="14"/>
      <c r="C53" s="15"/>
      <c r="D53" s="16"/>
      <c r="E53" s="15"/>
      <c r="F53" s="14"/>
      <c r="G53" s="13"/>
      <c r="H53" s="14"/>
      <c r="I53" s="14"/>
      <c r="J53" s="14"/>
      <c r="K53" s="14"/>
      <c r="L53" s="17"/>
    </row>
    <row r="54" spans="1:12" x14ac:dyDescent="0.25">
      <c r="A54" s="13"/>
      <c r="B54" s="14"/>
      <c r="C54" s="15"/>
      <c r="D54" s="16"/>
      <c r="E54" s="15"/>
      <c r="F54" s="14"/>
      <c r="G54" s="13"/>
      <c r="H54" s="14"/>
      <c r="I54" s="14"/>
      <c r="J54" s="14"/>
      <c r="K54" s="14"/>
      <c r="L54" s="17"/>
    </row>
    <row r="55" spans="1:12" x14ac:dyDescent="0.25">
      <c r="A55" s="13"/>
      <c r="B55" s="14"/>
      <c r="C55" s="15"/>
      <c r="D55" s="16"/>
      <c r="E55" s="15"/>
      <c r="F55" s="14"/>
      <c r="G55" s="13"/>
      <c r="H55" s="14"/>
      <c r="I55" s="14"/>
      <c r="J55" s="14"/>
      <c r="K55" s="14"/>
      <c r="L55" s="17"/>
    </row>
    <row r="56" spans="1:12" x14ac:dyDescent="0.25">
      <c r="A56" s="13"/>
      <c r="B56" s="14"/>
      <c r="C56" s="15"/>
      <c r="D56" s="16"/>
      <c r="E56" s="15"/>
      <c r="F56" s="14"/>
      <c r="G56" s="13"/>
      <c r="H56" s="14"/>
      <c r="I56" s="14"/>
      <c r="J56" s="14"/>
      <c r="K56" s="14"/>
      <c r="L56" s="17"/>
    </row>
    <row r="57" spans="1:12" x14ac:dyDescent="0.25">
      <c r="A57" s="13"/>
      <c r="B57" s="14"/>
      <c r="C57" s="15"/>
      <c r="D57" s="16"/>
      <c r="E57" s="15"/>
      <c r="F57" s="14"/>
      <c r="G57" s="13"/>
      <c r="H57" s="14"/>
      <c r="I57" s="14"/>
      <c r="J57" s="14"/>
      <c r="K57" s="14"/>
      <c r="L57" s="17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6"/>
  <sheetViews>
    <sheetView workbookViewId="0">
      <selection sqref="A1:L50"/>
    </sheetView>
  </sheetViews>
  <sheetFormatPr defaultRowHeight="15" x14ac:dyDescent="0.25"/>
  <cols>
    <col min="1" max="1" width="13.140625" style="24" bestFit="1" customWidth="1"/>
    <col min="2" max="2" width="23.85546875" style="24" bestFit="1" customWidth="1"/>
    <col min="3" max="3" width="12.42578125" style="24" bestFit="1" customWidth="1"/>
    <col min="4" max="4" width="8.7109375" style="24" bestFit="1" customWidth="1"/>
    <col min="5" max="5" width="16.5703125" style="24" bestFit="1" customWidth="1"/>
    <col min="6" max="6" width="11.28515625" style="24" bestFit="1" customWidth="1"/>
    <col min="7" max="7" width="10.85546875" style="24" customWidth="1"/>
    <col min="8" max="8" width="12.140625" style="24" customWidth="1"/>
    <col min="9" max="9" width="36.42578125" style="24" bestFit="1" customWidth="1"/>
    <col min="10" max="10" width="19.85546875" style="24" bestFit="1" customWidth="1"/>
    <col min="11" max="11" width="38.140625" style="24" customWidth="1"/>
    <col min="12" max="12" width="25.42578125" style="24" customWidth="1"/>
    <col min="13" max="16384" width="9.140625" style="24"/>
  </cols>
  <sheetData>
    <row r="1" spans="1:12" ht="36" x14ac:dyDescent="0.25">
      <c r="A1" s="18" t="s">
        <v>2</v>
      </c>
      <c r="B1" s="18" t="s">
        <v>3</v>
      </c>
      <c r="C1" s="18" t="s">
        <v>4</v>
      </c>
      <c r="D1" s="18" t="s">
        <v>5</v>
      </c>
      <c r="E1" s="18" t="s">
        <v>6</v>
      </c>
      <c r="F1" s="18" t="s">
        <v>7</v>
      </c>
      <c r="G1" s="18" t="s">
        <v>8</v>
      </c>
      <c r="H1" s="18" t="s">
        <v>9</v>
      </c>
      <c r="I1" s="18" t="s">
        <v>10</v>
      </c>
      <c r="J1" s="18" t="s">
        <v>11</v>
      </c>
      <c r="K1" s="18" t="s">
        <v>12</v>
      </c>
      <c r="L1" s="18" t="s">
        <v>13</v>
      </c>
    </row>
    <row r="2" spans="1:12" ht="36" x14ac:dyDescent="0.25">
      <c r="A2" s="19" t="s">
        <v>1483</v>
      </c>
      <c r="B2" s="20" t="s">
        <v>1484</v>
      </c>
      <c r="C2" s="21">
        <v>1</v>
      </c>
      <c r="D2" s="22">
        <v>299.99</v>
      </c>
      <c r="E2" s="21" t="s">
        <v>1485</v>
      </c>
      <c r="F2" s="20" t="s">
        <v>628</v>
      </c>
      <c r="G2" s="19" t="s">
        <v>1486</v>
      </c>
      <c r="H2" s="20" t="s">
        <v>707</v>
      </c>
      <c r="I2" s="20" t="s">
        <v>730</v>
      </c>
      <c r="J2" s="20" t="s">
        <v>20</v>
      </c>
      <c r="K2" s="20" t="s">
        <v>1487</v>
      </c>
      <c r="L2" s="23" t="str">
        <f>HYPERLINK("http://slimages.macys.com/is/image/MCY/11953123 ")</f>
        <v xml:space="preserve">http://slimages.macys.com/is/image/MCY/11953123 </v>
      </c>
    </row>
    <row r="3" spans="1:12" ht="36" x14ac:dyDescent="0.25">
      <c r="A3" s="19" t="s">
        <v>1488</v>
      </c>
      <c r="B3" s="20" t="s">
        <v>1489</v>
      </c>
      <c r="C3" s="21">
        <v>1</v>
      </c>
      <c r="D3" s="22">
        <v>179.99</v>
      </c>
      <c r="E3" s="21">
        <v>2000001217</v>
      </c>
      <c r="F3" s="20" t="s">
        <v>1124</v>
      </c>
      <c r="G3" s="19"/>
      <c r="H3" s="20" t="s">
        <v>712</v>
      </c>
      <c r="I3" s="20" t="s">
        <v>1092</v>
      </c>
      <c r="J3" s="20"/>
      <c r="K3" s="20"/>
      <c r="L3" s="23" t="str">
        <f>HYPERLINK("http://slimages.macys.com/is/image/MCY/18724463 ")</f>
        <v xml:space="preserve">http://slimages.macys.com/is/image/MCY/18724463 </v>
      </c>
    </row>
    <row r="4" spans="1:12" ht="36" x14ac:dyDescent="0.25">
      <c r="A4" s="19" t="s">
        <v>1490</v>
      </c>
      <c r="B4" s="20" t="s">
        <v>1491</v>
      </c>
      <c r="C4" s="21">
        <v>1</v>
      </c>
      <c r="D4" s="22">
        <v>99.99</v>
      </c>
      <c r="E4" s="21">
        <v>216331</v>
      </c>
      <c r="F4" s="20" t="s">
        <v>78</v>
      </c>
      <c r="G4" s="19"/>
      <c r="H4" s="20" t="s">
        <v>734</v>
      </c>
      <c r="I4" s="20" t="s">
        <v>1492</v>
      </c>
      <c r="J4" s="20" t="s">
        <v>20</v>
      </c>
      <c r="K4" s="20" t="s">
        <v>1493</v>
      </c>
      <c r="L4" s="23" t="str">
        <f>HYPERLINK("http://slimages.macys.com/is/image/MCY/15729663 ")</f>
        <v xml:space="preserve">http://slimages.macys.com/is/image/MCY/15729663 </v>
      </c>
    </row>
    <row r="5" spans="1:12" ht="36" x14ac:dyDescent="0.25">
      <c r="A5" s="19" t="s">
        <v>1494</v>
      </c>
      <c r="B5" s="20" t="s">
        <v>1495</v>
      </c>
      <c r="C5" s="21">
        <v>1</v>
      </c>
      <c r="D5" s="22">
        <v>199.99</v>
      </c>
      <c r="E5" s="21" t="s">
        <v>1496</v>
      </c>
      <c r="F5" s="20" t="s">
        <v>54</v>
      </c>
      <c r="G5" s="19"/>
      <c r="H5" s="20" t="s">
        <v>707</v>
      </c>
      <c r="I5" s="20" t="s">
        <v>730</v>
      </c>
      <c r="J5" s="20" t="s">
        <v>20</v>
      </c>
      <c r="K5" s="20" t="s">
        <v>341</v>
      </c>
      <c r="L5" s="23" t="str">
        <f>HYPERLINK("http://slimages.macys.com/is/image/MCY/11953123 ")</f>
        <v xml:space="preserve">http://slimages.macys.com/is/image/MCY/11953123 </v>
      </c>
    </row>
    <row r="6" spans="1:12" ht="72" x14ac:dyDescent="0.25">
      <c r="A6" s="19" t="s">
        <v>1497</v>
      </c>
      <c r="B6" s="20" t="s">
        <v>1498</v>
      </c>
      <c r="C6" s="21">
        <v>1</v>
      </c>
      <c r="D6" s="22">
        <v>109.99</v>
      </c>
      <c r="E6" s="21" t="s">
        <v>1499</v>
      </c>
      <c r="F6" s="20" t="s">
        <v>555</v>
      </c>
      <c r="G6" s="19"/>
      <c r="H6" s="20" t="s">
        <v>712</v>
      </c>
      <c r="I6" s="20" t="s">
        <v>746</v>
      </c>
      <c r="J6" s="20" t="s">
        <v>20</v>
      </c>
      <c r="K6" s="20" t="s">
        <v>1500</v>
      </c>
      <c r="L6" s="23" t="str">
        <f>HYPERLINK("http://slimages.macys.com/is/image/MCY/9566739 ")</f>
        <v xml:space="preserve">http://slimages.macys.com/is/image/MCY/9566739 </v>
      </c>
    </row>
    <row r="7" spans="1:12" ht="36" x14ac:dyDescent="0.25">
      <c r="A7" s="19" t="s">
        <v>1501</v>
      </c>
      <c r="B7" s="20" t="s">
        <v>1502</v>
      </c>
      <c r="C7" s="21">
        <v>1</v>
      </c>
      <c r="D7" s="22">
        <v>109.99</v>
      </c>
      <c r="E7" s="21" t="s">
        <v>1503</v>
      </c>
      <c r="F7" s="20" t="s">
        <v>206</v>
      </c>
      <c r="G7" s="19"/>
      <c r="H7" s="20" t="s">
        <v>772</v>
      </c>
      <c r="I7" s="20" t="s">
        <v>773</v>
      </c>
      <c r="J7" s="20" t="s">
        <v>20</v>
      </c>
      <c r="K7" s="20"/>
      <c r="L7" s="23" t="str">
        <f>HYPERLINK("http://slimages.macys.com/is/image/MCY/11534834 ")</f>
        <v xml:space="preserve">http://slimages.macys.com/is/image/MCY/11534834 </v>
      </c>
    </row>
    <row r="8" spans="1:12" ht="36" x14ac:dyDescent="0.25">
      <c r="A8" s="19" t="s">
        <v>1504</v>
      </c>
      <c r="B8" s="20" t="s">
        <v>1505</v>
      </c>
      <c r="C8" s="21">
        <v>1</v>
      </c>
      <c r="D8" s="22">
        <v>109.99</v>
      </c>
      <c r="E8" s="21" t="s">
        <v>1506</v>
      </c>
      <c r="F8" s="20" t="s">
        <v>89</v>
      </c>
      <c r="G8" s="19"/>
      <c r="H8" s="20" t="s">
        <v>772</v>
      </c>
      <c r="I8" s="20" t="s">
        <v>773</v>
      </c>
      <c r="J8" s="20" t="s">
        <v>20</v>
      </c>
      <c r="K8" s="20"/>
      <c r="L8" s="23" t="str">
        <f>HYPERLINK("http://slimages.macys.com/is/image/MCY/11534834 ")</f>
        <v xml:space="preserve">http://slimages.macys.com/is/image/MCY/11534834 </v>
      </c>
    </row>
    <row r="9" spans="1:12" ht="36" x14ac:dyDescent="0.25">
      <c r="A9" s="19" t="s">
        <v>1507</v>
      </c>
      <c r="B9" s="20" t="s">
        <v>1508</v>
      </c>
      <c r="C9" s="21">
        <v>1</v>
      </c>
      <c r="D9" s="22">
        <v>105.99</v>
      </c>
      <c r="E9" s="21">
        <v>60896</v>
      </c>
      <c r="F9" s="20" t="s">
        <v>89</v>
      </c>
      <c r="G9" s="19"/>
      <c r="H9" s="20" t="s">
        <v>782</v>
      </c>
      <c r="I9" s="20" t="s">
        <v>835</v>
      </c>
      <c r="J9" s="20" t="s">
        <v>1067</v>
      </c>
      <c r="K9" s="20" t="s">
        <v>1509</v>
      </c>
      <c r="L9" s="23" t="str">
        <f>HYPERLINK("http://slimages.macys.com/is/image/MCY/13359217 ")</f>
        <v xml:space="preserve">http://slimages.macys.com/is/image/MCY/13359217 </v>
      </c>
    </row>
    <row r="10" spans="1:12" ht="36" x14ac:dyDescent="0.25">
      <c r="A10" s="19" t="s">
        <v>1510</v>
      </c>
      <c r="B10" s="20" t="s">
        <v>1511</v>
      </c>
      <c r="C10" s="21">
        <v>1</v>
      </c>
      <c r="D10" s="22">
        <v>99.99</v>
      </c>
      <c r="E10" s="21">
        <v>15311115</v>
      </c>
      <c r="F10" s="20" t="s">
        <v>555</v>
      </c>
      <c r="G10" s="19" t="s">
        <v>1512</v>
      </c>
      <c r="H10" s="20" t="s">
        <v>782</v>
      </c>
      <c r="I10" s="20" t="s">
        <v>1513</v>
      </c>
      <c r="J10" s="20" t="s">
        <v>1514</v>
      </c>
      <c r="K10" s="20" t="s">
        <v>1515</v>
      </c>
      <c r="L10" s="23" t="str">
        <f>HYPERLINK("http://slimages.macys.com/is/image/MCY/3899940 ")</f>
        <v xml:space="preserve">http://slimages.macys.com/is/image/MCY/3899940 </v>
      </c>
    </row>
    <row r="11" spans="1:12" ht="36" x14ac:dyDescent="0.25">
      <c r="A11" s="19" t="s">
        <v>1046</v>
      </c>
      <c r="B11" s="20" t="s">
        <v>1047</v>
      </c>
      <c r="C11" s="21">
        <v>1</v>
      </c>
      <c r="D11" s="22">
        <v>109.99</v>
      </c>
      <c r="E11" s="21" t="s">
        <v>1048</v>
      </c>
      <c r="F11" s="20" t="s">
        <v>1008</v>
      </c>
      <c r="G11" s="19"/>
      <c r="H11" s="20" t="s">
        <v>712</v>
      </c>
      <c r="I11" s="20" t="s">
        <v>746</v>
      </c>
      <c r="J11" s="20"/>
      <c r="K11" s="20"/>
      <c r="L11" s="23" t="str">
        <f>HYPERLINK("http://slimages.macys.com/is/image/MCY/18201783 ")</f>
        <v xml:space="preserve">http://slimages.macys.com/is/image/MCY/18201783 </v>
      </c>
    </row>
    <row r="12" spans="1:12" ht="36" x14ac:dyDescent="0.25">
      <c r="A12" s="19" t="s">
        <v>1516</v>
      </c>
      <c r="B12" s="20" t="s">
        <v>1517</v>
      </c>
      <c r="C12" s="21">
        <v>1</v>
      </c>
      <c r="D12" s="22">
        <v>119.99</v>
      </c>
      <c r="E12" s="21" t="s">
        <v>1518</v>
      </c>
      <c r="F12" s="20" t="s">
        <v>1008</v>
      </c>
      <c r="G12" s="19"/>
      <c r="H12" s="20" t="s">
        <v>772</v>
      </c>
      <c r="I12" s="20" t="s">
        <v>773</v>
      </c>
      <c r="J12" s="20" t="s">
        <v>20</v>
      </c>
      <c r="K12" s="20" t="s">
        <v>341</v>
      </c>
      <c r="L12" s="23" t="str">
        <f>HYPERLINK("http://slimages.macys.com/is/image/MCY/11607139 ")</f>
        <v xml:space="preserve">http://slimages.macys.com/is/image/MCY/11607139 </v>
      </c>
    </row>
    <row r="13" spans="1:12" ht="24" x14ac:dyDescent="0.25">
      <c r="A13" s="19" t="s">
        <v>1519</v>
      </c>
      <c r="B13" s="20" t="s">
        <v>1520</v>
      </c>
      <c r="C13" s="21">
        <v>1</v>
      </c>
      <c r="D13" s="22">
        <v>99.99</v>
      </c>
      <c r="E13" s="21">
        <v>22339422</v>
      </c>
      <c r="F13" s="20" t="s">
        <v>638</v>
      </c>
      <c r="G13" s="19"/>
      <c r="H13" s="20" t="s">
        <v>712</v>
      </c>
      <c r="I13" s="20" t="s">
        <v>1092</v>
      </c>
      <c r="J13" s="20" t="s">
        <v>20</v>
      </c>
      <c r="K13" s="20" t="s">
        <v>396</v>
      </c>
      <c r="L13" s="23" t="str">
        <f>HYPERLINK("http://slimages.macys.com/is/image/MCY/16688585 ")</f>
        <v xml:space="preserve">http://slimages.macys.com/is/image/MCY/16688585 </v>
      </c>
    </row>
    <row r="14" spans="1:12" ht="24" x14ac:dyDescent="0.25">
      <c r="A14" s="19" t="s">
        <v>1521</v>
      </c>
      <c r="B14" s="20" t="s">
        <v>1522</v>
      </c>
      <c r="C14" s="21">
        <v>1</v>
      </c>
      <c r="D14" s="22">
        <v>94.99</v>
      </c>
      <c r="E14" s="21">
        <v>13860</v>
      </c>
      <c r="F14" s="20" t="s">
        <v>555</v>
      </c>
      <c r="G14" s="19" t="s">
        <v>17</v>
      </c>
      <c r="H14" s="20" t="s">
        <v>782</v>
      </c>
      <c r="I14" s="20" t="s">
        <v>1523</v>
      </c>
      <c r="J14" s="20" t="s">
        <v>110</v>
      </c>
      <c r="K14" s="20" t="s">
        <v>1524</v>
      </c>
      <c r="L14" s="23" t="str">
        <f>HYPERLINK("http://slimages.macys.com/is/image/MCY/12038990 ")</f>
        <v xml:space="preserve">http://slimages.macys.com/is/image/MCY/12038990 </v>
      </c>
    </row>
    <row r="15" spans="1:12" ht="36" x14ac:dyDescent="0.25">
      <c r="A15" s="19" t="s">
        <v>1525</v>
      </c>
      <c r="B15" s="20" t="s">
        <v>1526</v>
      </c>
      <c r="C15" s="21">
        <v>1</v>
      </c>
      <c r="D15" s="22">
        <v>99.99</v>
      </c>
      <c r="E15" s="21" t="s">
        <v>1527</v>
      </c>
      <c r="F15" s="20" t="s">
        <v>628</v>
      </c>
      <c r="G15" s="19"/>
      <c r="H15" s="20" t="s">
        <v>1528</v>
      </c>
      <c r="I15" s="20" t="s">
        <v>1529</v>
      </c>
      <c r="J15" s="20"/>
      <c r="K15" s="20"/>
      <c r="L15" s="23" t="str">
        <f>HYPERLINK("http://slimages.macys.com/is/image/MCY/17662849 ")</f>
        <v xml:space="preserve">http://slimages.macys.com/is/image/MCY/17662849 </v>
      </c>
    </row>
    <row r="16" spans="1:12" ht="36" x14ac:dyDescent="0.25">
      <c r="A16" s="19" t="s">
        <v>1530</v>
      </c>
      <c r="B16" s="20" t="s">
        <v>1531</v>
      </c>
      <c r="C16" s="21">
        <v>1</v>
      </c>
      <c r="D16" s="22">
        <v>87.99</v>
      </c>
      <c r="E16" s="21" t="s">
        <v>1532</v>
      </c>
      <c r="F16" s="20" t="s">
        <v>89</v>
      </c>
      <c r="G16" s="19"/>
      <c r="H16" s="20" t="s">
        <v>782</v>
      </c>
      <c r="I16" s="20" t="s">
        <v>1533</v>
      </c>
      <c r="J16" s="20" t="s">
        <v>20</v>
      </c>
      <c r="K16" s="20" t="s">
        <v>861</v>
      </c>
      <c r="L16" s="23" t="str">
        <f>HYPERLINK("http://slimages.macys.com/is/image/MCY/13767724 ")</f>
        <v xml:space="preserve">http://slimages.macys.com/is/image/MCY/13767724 </v>
      </c>
    </row>
    <row r="17" spans="1:12" ht="36" x14ac:dyDescent="0.25">
      <c r="A17" s="19" t="s">
        <v>1534</v>
      </c>
      <c r="B17" s="20" t="s">
        <v>1535</v>
      </c>
      <c r="C17" s="21">
        <v>1</v>
      </c>
      <c r="D17" s="22">
        <v>79.989999999999995</v>
      </c>
      <c r="E17" s="21" t="s">
        <v>1536</v>
      </c>
      <c r="F17" s="20" t="s">
        <v>206</v>
      </c>
      <c r="G17" s="19"/>
      <c r="H17" s="20" t="s">
        <v>707</v>
      </c>
      <c r="I17" s="20" t="s">
        <v>1110</v>
      </c>
      <c r="J17" s="20" t="s">
        <v>20</v>
      </c>
      <c r="K17" s="20" t="s">
        <v>1537</v>
      </c>
      <c r="L17" s="23" t="str">
        <f>HYPERLINK("http://slimages.macys.com/is/image/MCY/9706179 ")</f>
        <v xml:space="preserve">http://slimages.macys.com/is/image/MCY/9706179 </v>
      </c>
    </row>
    <row r="18" spans="1:12" ht="36" x14ac:dyDescent="0.25">
      <c r="A18" s="19" t="s">
        <v>1538</v>
      </c>
      <c r="B18" s="20" t="s">
        <v>1539</v>
      </c>
      <c r="C18" s="21">
        <v>1</v>
      </c>
      <c r="D18" s="22">
        <v>94.99</v>
      </c>
      <c r="E18" s="21" t="s">
        <v>1540</v>
      </c>
      <c r="F18" s="20" t="s">
        <v>89</v>
      </c>
      <c r="G18" s="19"/>
      <c r="H18" s="20" t="s">
        <v>712</v>
      </c>
      <c r="I18" s="20" t="s">
        <v>900</v>
      </c>
      <c r="J18" s="20" t="s">
        <v>20</v>
      </c>
      <c r="K18" s="20" t="s">
        <v>1541</v>
      </c>
      <c r="L18" s="23" t="str">
        <f>HYPERLINK("http://slimages.macys.com/is/image/MCY/10143520 ")</f>
        <v xml:space="preserve">http://slimages.macys.com/is/image/MCY/10143520 </v>
      </c>
    </row>
    <row r="19" spans="1:12" ht="36" x14ac:dyDescent="0.25">
      <c r="A19" s="19" t="s">
        <v>1542</v>
      </c>
      <c r="B19" s="20" t="s">
        <v>1543</v>
      </c>
      <c r="C19" s="21">
        <v>1</v>
      </c>
      <c r="D19" s="22">
        <v>79.989999999999995</v>
      </c>
      <c r="E19" s="21" t="s">
        <v>1544</v>
      </c>
      <c r="F19" s="20" t="s">
        <v>922</v>
      </c>
      <c r="G19" s="19" t="s">
        <v>1545</v>
      </c>
      <c r="H19" s="20" t="s">
        <v>831</v>
      </c>
      <c r="I19" s="20" t="s">
        <v>832</v>
      </c>
      <c r="J19" s="20"/>
      <c r="K19" s="20"/>
      <c r="L19" s="23" t="str">
        <f>HYPERLINK("http://slimages.macys.com/is/image/MCY/18651613 ")</f>
        <v xml:space="preserve">http://slimages.macys.com/is/image/MCY/18651613 </v>
      </c>
    </row>
    <row r="20" spans="1:12" ht="24" x14ac:dyDescent="0.25">
      <c r="A20" s="19" t="s">
        <v>1546</v>
      </c>
      <c r="B20" s="20" t="s">
        <v>1547</v>
      </c>
      <c r="C20" s="21">
        <v>3</v>
      </c>
      <c r="D20" s="22">
        <v>212.97</v>
      </c>
      <c r="E20" s="21" t="s">
        <v>1548</v>
      </c>
      <c r="F20" s="20" t="s">
        <v>89</v>
      </c>
      <c r="G20" s="19" t="s">
        <v>1549</v>
      </c>
      <c r="H20" s="20" t="s">
        <v>745</v>
      </c>
      <c r="I20" s="20" t="s">
        <v>1550</v>
      </c>
      <c r="J20" s="20" t="s">
        <v>20</v>
      </c>
      <c r="K20" s="20" t="s">
        <v>396</v>
      </c>
      <c r="L20" s="23" t="str">
        <f>HYPERLINK("http://slimages.macys.com/is/image/MCY/12473213 ")</f>
        <v xml:space="preserve">http://slimages.macys.com/is/image/MCY/12473213 </v>
      </c>
    </row>
    <row r="21" spans="1:12" ht="36" x14ac:dyDescent="0.25">
      <c r="A21" s="19" t="s">
        <v>1551</v>
      </c>
      <c r="B21" s="20" t="s">
        <v>1552</v>
      </c>
      <c r="C21" s="21">
        <v>1</v>
      </c>
      <c r="D21" s="22">
        <v>79.989999999999995</v>
      </c>
      <c r="E21" s="21" t="s">
        <v>1553</v>
      </c>
      <c r="F21" s="20" t="s">
        <v>628</v>
      </c>
      <c r="G21" s="19"/>
      <c r="H21" s="20" t="s">
        <v>707</v>
      </c>
      <c r="I21" s="20" t="s">
        <v>1110</v>
      </c>
      <c r="J21" s="20" t="s">
        <v>20</v>
      </c>
      <c r="K21" s="20" t="s">
        <v>1554</v>
      </c>
      <c r="L21" s="23" t="str">
        <f>HYPERLINK("http://slimages.macys.com/is/image/MCY/9621143 ")</f>
        <v xml:space="preserve">http://slimages.macys.com/is/image/MCY/9621143 </v>
      </c>
    </row>
    <row r="22" spans="1:12" ht="36" x14ac:dyDescent="0.25">
      <c r="A22" s="19" t="s">
        <v>1555</v>
      </c>
      <c r="B22" s="20" t="s">
        <v>1556</v>
      </c>
      <c r="C22" s="21">
        <v>1</v>
      </c>
      <c r="D22" s="22">
        <v>63.99</v>
      </c>
      <c r="E22" s="21">
        <v>20051</v>
      </c>
      <c r="F22" s="20" t="s">
        <v>89</v>
      </c>
      <c r="G22" s="19"/>
      <c r="H22" s="20" t="s">
        <v>782</v>
      </c>
      <c r="I22" s="20" t="s">
        <v>835</v>
      </c>
      <c r="J22" s="20" t="s">
        <v>1067</v>
      </c>
      <c r="K22" s="20" t="s">
        <v>1557</v>
      </c>
      <c r="L22" s="23" t="str">
        <f>HYPERLINK("http://slimages.macys.com/is/image/MCY/12048826 ")</f>
        <v xml:space="preserve">http://slimages.macys.com/is/image/MCY/12048826 </v>
      </c>
    </row>
    <row r="23" spans="1:12" ht="36" x14ac:dyDescent="0.25">
      <c r="A23" s="19" t="s">
        <v>1558</v>
      </c>
      <c r="B23" s="20" t="s">
        <v>1559</v>
      </c>
      <c r="C23" s="21">
        <v>1</v>
      </c>
      <c r="D23" s="22">
        <v>99.99</v>
      </c>
      <c r="E23" s="21" t="s">
        <v>1560</v>
      </c>
      <c r="F23" s="20" t="s">
        <v>555</v>
      </c>
      <c r="G23" s="19"/>
      <c r="H23" s="20" t="s">
        <v>739</v>
      </c>
      <c r="I23" s="20" t="s">
        <v>1561</v>
      </c>
      <c r="J23" s="20"/>
      <c r="K23" s="20"/>
      <c r="L23" s="23" t="str">
        <f>HYPERLINK("http://slimages.macys.com/is/image/MCY/17531037 ")</f>
        <v xml:space="preserve">http://slimages.macys.com/is/image/MCY/17531037 </v>
      </c>
    </row>
    <row r="24" spans="1:12" ht="36" x14ac:dyDescent="0.25">
      <c r="A24" s="19" t="s">
        <v>1562</v>
      </c>
      <c r="B24" s="20" t="s">
        <v>1563</v>
      </c>
      <c r="C24" s="21">
        <v>1</v>
      </c>
      <c r="D24" s="22">
        <v>49.99</v>
      </c>
      <c r="E24" s="21">
        <v>216087</v>
      </c>
      <c r="F24" s="20" t="s">
        <v>89</v>
      </c>
      <c r="G24" s="19"/>
      <c r="H24" s="20" t="s">
        <v>734</v>
      </c>
      <c r="I24" s="20" t="s">
        <v>1564</v>
      </c>
      <c r="J24" s="20" t="s">
        <v>20</v>
      </c>
      <c r="K24" s="20"/>
      <c r="L24" s="23" t="str">
        <f>HYPERLINK("http://slimages.macys.com/is/image/MCY/8289315 ")</f>
        <v xml:space="preserve">http://slimages.macys.com/is/image/MCY/8289315 </v>
      </c>
    </row>
    <row r="25" spans="1:12" ht="36" x14ac:dyDescent="0.25">
      <c r="A25" s="19" t="s">
        <v>833</v>
      </c>
      <c r="B25" s="20" t="s">
        <v>834</v>
      </c>
      <c r="C25" s="21">
        <v>1</v>
      </c>
      <c r="D25" s="22">
        <v>59.99</v>
      </c>
      <c r="E25" s="21">
        <v>70081</v>
      </c>
      <c r="F25" s="20" t="s">
        <v>89</v>
      </c>
      <c r="G25" s="19"/>
      <c r="H25" s="20" t="s">
        <v>782</v>
      </c>
      <c r="I25" s="20" t="s">
        <v>835</v>
      </c>
      <c r="J25" s="20" t="s">
        <v>20</v>
      </c>
      <c r="K25" s="20" t="s">
        <v>836</v>
      </c>
      <c r="L25" s="23" t="str">
        <f>HYPERLINK("http://slimages.macys.com/is/image/MCY/11443707 ")</f>
        <v xml:space="preserve">http://slimages.macys.com/is/image/MCY/11443707 </v>
      </c>
    </row>
    <row r="26" spans="1:12" ht="24" x14ac:dyDescent="0.25">
      <c r="A26" s="19" t="s">
        <v>1565</v>
      </c>
      <c r="B26" s="20" t="s">
        <v>1566</v>
      </c>
      <c r="C26" s="21">
        <v>1</v>
      </c>
      <c r="D26" s="22">
        <v>49.99</v>
      </c>
      <c r="E26" s="21" t="s">
        <v>1567</v>
      </c>
      <c r="F26" s="20" t="s">
        <v>349</v>
      </c>
      <c r="G26" s="19"/>
      <c r="H26" s="20" t="s">
        <v>745</v>
      </c>
      <c r="I26" s="20" t="s">
        <v>974</v>
      </c>
      <c r="J26" s="20" t="s">
        <v>20</v>
      </c>
      <c r="K26" s="20"/>
      <c r="L26" s="23" t="str">
        <f>HYPERLINK("http://slimages.macys.com/is/image/MCY/8754607 ")</f>
        <v xml:space="preserve">http://slimages.macys.com/is/image/MCY/8754607 </v>
      </c>
    </row>
    <row r="27" spans="1:12" ht="36" x14ac:dyDescent="0.25">
      <c r="A27" s="19" t="s">
        <v>1089</v>
      </c>
      <c r="B27" s="20" t="s">
        <v>1090</v>
      </c>
      <c r="C27" s="21">
        <v>1</v>
      </c>
      <c r="D27" s="22">
        <v>49.99</v>
      </c>
      <c r="E27" s="21" t="s">
        <v>1091</v>
      </c>
      <c r="F27" s="20" t="s">
        <v>89</v>
      </c>
      <c r="G27" s="19"/>
      <c r="H27" s="20" t="s">
        <v>712</v>
      </c>
      <c r="I27" s="20" t="s">
        <v>1092</v>
      </c>
      <c r="J27" s="20" t="s">
        <v>20</v>
      </c>
      <c r="K27" s="20" t="s">
        <v>1093</v>
      </c>
      <c r="L27" s="23" t="str">
        <f>HYPERLINK("http://slimages.macys.com/is/image/MCY/9330026 ")</f>
        <v xml:space="preserve">http://slimages.macys.com/is/image/MCY/9330026 </v>
      </c>
    </row>
    <row r="28" spans="1:12" ht="36" x14ac:dyDescent="0.25">
      <c r="A28" s="19" t="s">
        <v>1568</v>
      </c>
      <c r="B28" s="20" t="s">
        <v>1569</v>
      </c>
      <c r="C28" s="21">
        <v>1</v>
      </c>
      <c r="D28" s="22">
        <v>44.99</v>
      </c>
      <c r="E28" s="21" t="s">
        <v>1570</v>
      </c>
      <c r="F28" s="20" t="s">
        <v>922</v>
      </c>
      <c r="G28" s="19"/>
      <c r="H28" s="20" t="s">
        <v>718</v>
      </c>
      <c r="I28" s="20" t="s">
        <v>806</v>
      </c>
      <c r="J28" s="20" t="s">
        <v>20</v>
      </c>
      <c r="K28" s="20"/>
      <c r="L28" s="23" t="str">
        <f>HYPERLINK("http://slimages.macys.com/is/image/MCY/11764484 ")</f>
        <v xml:space="preserve">http://slimages.macys.com/is/image/MCY/11764484 </v>
      </c>
    </row>
    <row r="29" spans="1:12" ht="36" x14ac:dyDescent="0.25">
      <c r="A29" s="19" t="s">
        <v>1571</v>
      </c>
      <c r="B29" s="20" t="s">
        <v>1572</v>
      </c>
      <c r="C29" s="21">
        <v>1</v>
      </c>
      <c r="D29" s="22">
        <v>49.99</v>
      </c>
      <c r="E29" s="21">
        <v>19572229</v>
      </c>
      <c r="F29" s="20" t="s">
        <v>1124</v>
      </c>
      <c r="G29" s="19"/>
      <c r="H29" s="20" t="s">
        <v>712</v>
      </c>
      <c r="I29" s="20" t="s">
        <v>1092</v>
      </c>
      <c r="J29" s="20" t="s">
        <v>132</v>
      </c>
      <c r="K29" s="20" t="s">
        <v>1093</v>
      </c>
      <c r="L29" s="23" t="str">
        <f>HYPERLINK("http://slimages.macys.com/is/image/MCY/10622355 ")</f>
        <v xml:space="preserve">http://slimages.macys.com/is/image/MCY/10622355 </v>
      </c>
    </row>
    <row r="30" spans="1:12" ht="36" x14ac:dyDescent="0.25">
      <c r="A30" s="19" t="s">
        <v>1573</v>
      </c>
      <c r="B30" s="20" t="s">
        <v>1574</v>
      </c>
      <c r="C30" s="21">
        <v>1</v>
      </c>
      <c r="D30" s="22">
        <v>49.99</v>
      </c>
      <c r="E30" s="21" t="s">
        <v>1575</v>
      </c>
      <c r="F30" s="20"/>
      <c r="G30" s="19"/>
      <c r="H30" s="20" t="s">
        <v>712</v>
      </c>
      <c r="I30" s="20" t="s">
        <v>1576</v>
      </c>
      <c r="J30" s="20"/>
      <c r="K30" s="20"/>
      <c r="L30" s="23" t="str">
        <f>HYPERLINK("http://slimages.macys.com/is/image/MCY/18717913 ")</f>
        <v xml:space="preserve">http://slimages.macys.com/is/image/MCY/18717913 </v>
      </c>
    </row>
    <row r="31" spans="1:12" ht="36" x14ac:dyDescent="0.25">
      <c r="A31" s="19" t="s">
        <v>1577</v>
      </c>
      <c r="B31" s="20" t="s">
        <v>1578</v>
      </c>
      <c r="C31" s="21">
        <v>1</v>
      </c>
      <c r="D31" s="22">
        <v>39.99</v>
      </c>
      <c r="E31" s="21" t="s">
        <v>1579</v>
      </c>
      <c r="F31" s="20" t="s">
        <v>89</v>
      </c>
      <c r="G31" s="19"/>
      <c r="H31" s="20" t="s">
        <v>718</v>
      </c>
      <c r="I31" s="20" t="s">
        <v>806</v>
      </c>
      <c r="J31" s="20"/>
      <c r="K31" s="20"/>
      <c r="L31" s="23" t="str">
        <f>HYPERLINK("http://slimages.macys.com/is/image/MCY/17822507 ")</f>
        <v xml:space="preserve">http://slimages.macys.com/is/image/MCY/17822507 </v>
      </c>
    </row>
    <row r="32" spans="1:12" ht="36" x14ac:dyDescent="0.25">
      <c r="A32" s="19" t="s">
        <v>1580</v>
      </c>
      <c r="B32" s="20" t="s">
        <v>1581</v>
      </c>
      <c r="C32" s="21">
        <v>1</v>
      </c>
      <c r="D32" s="22">
        <v>49.99</v>
      </c>
      <c r="E32" s="21" t="s">
        <v>1582</v>
      </c>
      <c r="F32" s="20" t="s">
        <v>89</v>
      </c>
      <c r="G32" s="19"/>
      <c r="H32" s="20" t="s">
        <v>718</v>
      </c>
      <c r="I32" s="20" t="s">
        <v>806</v>
      </c>
      <c r="J32" s="20"/>
      <c r="K32" s="20"/>
      <c r="L32" s="23" t="str">
        <f>HYPERLINK("http://slimages.macys.com/is/image/MCY/17968749 ")</f>
        <v xml:space="preserve">http://slimages.macys.com/is/image/MCY/17968749 </v>
      </c>
    </row>
    <row r="33" spans="1:12" ht="36" x14ac:dyDescent="0.25">
      <c r="A33" s="19" t="s">
        <v>1583</v>
      </c>
      <c r="B33" s="20" t="s">
        <v>1584</v>
      </c>
      <c r="C33" s="21">
        <v>1</v>
      </c>
      <c r="D33" s="22">
        <v>49.99</v>
      </c>
      <c r="E33" s="21" t="s">
        <v>1585</v>
      </c>
      <c r="F33" s="20" t="s">
        <v>628</v>
      </c>
      <c r="G33" s="19"/>
      <c r="H33" s="20" t="s">
        <v>718</v>
      </c>
      <c r="I33" s="20" t="s">
        <v>806</v>
      </c>
      <c r="J33" s="20"/>
      <c r="K33" s="20"/>
      <c r="L33" s="23" t="str">
        <f>HYPERLINK("http://slimages.macys.com/is/image/MCY/17968749 ")</f>
        <v xml:space="preserve">http://slimages.macys.com/is/image/MCY/17968749 </v>
      </c>
    </row>
    <row r="34" spans="1:12" ht="36" x14ac:dyDescent="0.25">
      <c r="A34" s="19" t="s">
        <v>1586</v>
      </c>
      <c r="B34" s="20" t="s">
        <v>1587</v>
      </c>
      <c r="C34" s="21">
        <v>1</v>
      </c>
      <c r="D34" s="22">
        <v>49.99</v>
      </c>
      <c r="E34" s="21" t="s">
        <v>1588</v>
      </c>
      <c r="F34" s="20" t="s">
        <v>755</v>
      </c>
      <c r="G34" s="19"/>
      <c r="H34" s="20" t="s">
        <v>718</v>
      </c>
      <c r="I34" s="20" t="s">
        <v>806</v>
      </c>
      <c r="J34" s="20"/>
      <c r="K34" s="20"/>
      <c r="L34" s="23" t="str">
        <f>HYPERLINK("http://slimages.macys.com/is/image/MCY/17968749 ")</f>
        <v xml:space="preserve">http://slimages.macys.com/is/image/MCY/17968749 </v>
      </c>
    </row>
    <row r="35" spans="1:12" ht="36" x14ac:dyDescent="0.25">
      <c r="A35" s="19" t="s">
        <v>1589</v>
      </c>
      <c r="B35" s="20" t="s">
        <v>1590</v>
      </c>
      <c r="C35" s="21">
        <v>1</v>
      </c>
      <c r="D35" s="22">
        <v>79.989999999999995</v>
      </c>
      <c r="E35" s="21" t="s">
        <v>1591</v>
      </c>
      <c r="F35" s="20" t="s">
        <v>31</v>
      </c>
      <c r="G35" s="19"/>
      <c r="H35" s="20" t="s">
        <v>707</v>
      </c>
      <c r="I35" s="20" t="s">
        <v>1110</v>
      </c>
      <c r="J35" s="20" t="s">
        <v>20</v>
      </c>
      <c r="K35" s="20" t="s">
        <v>1554</v>
      </c>
      <c r="L35" s="23" t="str">
        <f>HYPERLINK("http://slimages.macys.com/is/image/MCY/9621143 ")</f>
        <v xml:space="preserve">http://slimages.macys.com/is/image/MCY/9621143 </v>
      </c>
    </row>
    <row r="36" spans="1:12" ht="36" x14ac:dyDescent="0.25">
      <c r="A36" s="19" t="s">
        <v>1592</v>
      </c>
      <c r="B36" s="20" t="s">
        <v>1593</v>
      </c>
      <c r="C36" s="21">
        <v>2</v>
      </c>
      <c r="D36" s="22">
        <v>159.97999999999999</v>
      </c>
      <c r="E36" s="21" t="s">
        <v>1591</v>
      </c>
      <c r="F36" s="20" t="s">
        <v>525</v>
      </c>
      <c r="G36" s="19"/>
      <c r="H36" s="20" t="s">
        <v>707</v>
      </c>
      <c r="I36" s="20" t="s">
        <v>1110</v>
      </c>
      <c r="J36" s="20" t="s">
        <v>20</v>
      </c>
      <c r="K36" s="20" t="s">
        <v>1554</v>
      </c>
      <c r="L36" s="23" t="str">
        <f>HYPERLINK("http://slimages.macys.com/is/image/MCY/9621143 ")</f>
        <v xml:space="preserve">http://slimages.macys.com/is/image/MCY/9621143 </v>
      </c>
    </row>
    <row r="37" spans="1:12" ht="36" x14ac:dyDescent="0.25">
      <c r="A37" s="19" t="s">
        <v>1594</v>
      </c>
      <c r="B37" s="20" t="s">
        <v>1595</v>
      </c>
      <c r="C37" s="21">
        <v>1</v>
      </c>
      <c r="D37" s="22">
        <v>39.99</v>
      </c>
      <c r="E37" s="21" t="s">
        <v>1596</v>
      </c>
      <c r="F37" s="20" t="s">
        <v>744</v>
      </c>
      <c r="G37" s="19" t="s">
        <v>1597</v>
      </c>
      <c r="H37" s="20" t="s">
        <v>782</v>
      </c>
      <c r="I37" s="20" t="s">
        <v>1598</v>
      </c>
      <c r="J37" s="20" t="s">
        <v>110</v>
      </c>
      <c r="K37" s="20" t="s">
        <v>1599</v>
      </c>
      <c r="L37" s="23" t="str">
        <f>HYPERLINK("http://slimages.macys.com/is/image/MCY/15210500 ")</f>
        <v xml:space="preserve">http://slimages.macys.com/is/image/MCY/15210500 </v>
      </c>
    </row>
    <row r="38" spans="1:12" ht="36" x14ac:dyDescent="0.25">
      <c r="A38" s="19" t="s">
        <v>1600</v>
      </c>
      <c r="B38" s="20" t="s">
        <v>1601</v>
      </c>
      <c r="C38" s="21">
        <v>1</v>
      </c>
      <c r="D38" s="22">
        <v>34.99</v>
      </c>
      <c r="E38" s="21" t="s">
        <v>1602</v>
      </c>
      <c r="F38" s="20" t="s">
        <v>206</v>
      </c>
      <c r="G38" s="19" t="s">
        <v>1603</v>
      </c>
      <c r="H38" s="20" t="s">
        <v>745</v>
      </c>
      <c r="I38" s="20" t="s">
        <v>713</v>
      </c>
      <c r="J38" s="20" t="s">
        <v>20</v>
      </c>
      <c r="K38" s="20"/>
      <c r="L38" s="23" t="str">
        <f>HYPERLINK("http://slimages.macys.com/is/image/MCY/16008355 ")</f>
        <v xml:space="preserve">http://slimages.macys.com/is/image/MCY/16008355 </v>
      </c>
    </row>
    <row r="39" spans="1:12" ht="24" x14ac:dyDescent="0.25">
      <c r="A39" s="19" t="s">
        <v>1604</v>
      </c>
      <c r="B39" s="20" t="s">
        <v>1605</v>
      </c>
      <c r="C39" s="21">
        <v>1</v>
      </c>
      <c r="D39" s="22">
        <v>34.99</v>
      </c>
      <c r="E39" s="21">
        <v>63961</v>
      </c>
      <c r="F39" s="20" t="s">
        <v>89</v>
      </c>
      <c r="G39" s="19" t="s">
        <v>1512</v>
      </c>
      <c r="H39" s="20" t="s">
        <v>782</v>
      </c>
      <c r="I39" s="20" t="s">
        <v>835</v>
      </c>
      <c r="J39" s="20" t="s">
        <v>1067</v>
      </c>
      <c r="K39" s="20" t="s">
        <v>1606</v>
      </c>
      <c r="L39" s="23" t="str">
        <f>HYPERLINK("http://slimages.macys.com/is/image/MCY/3181504 ")</f>
        <v xml:space="preserve">http://slimages.macys.com/is/image/MCY/3181504 </v>
      </c>
    </row>
    <row r="40" spans="1:12" ht="36" x14ac:dyDescent="0.25">
      <c r="A40" s="19" t="s">
        <v>1607</v>
      </c>
      <c r="B40" s="20" t="s">
        <v>1608</v>
      </c>
      <c r="C40" s="21">
        <v>1</v>
      </c>
      <c r="D40" s="22">
        <v>39.99</v>
      </c>
      <c r="E40" s="21" t="s">
        <v>1609</v>
      </c>
      <c r="F40" s="20" t="s">
        <v>89</v>
      </c>
      <c r="G40" s="19"/>
      <c r="H40" s="20" t="s">
        <v>772</v>
      </c>
      <c r="I40" s="20" t="s">
        <v>773</v>
      </c>
      <c r="J40" s="20" t="s">
        <v>20</v>
      </c>
      <c r="K40" s="20"/>
      <c r="L40" s="23" t="str">
        <f>HYPERLINK("http://slimages.macys.com/is/image/MCY/8432521 ")</f>
        <v xml:space="preserve">http://slimages.macys.com/is/image/MCY/8432521 </v>
      </c>
    </row>
    <row r="41" spans="1:12" ht="36" x14ac:dyDescent="0.25">
      <c r="A41" s="19" t="s">
        <v>1610</v>
      </c>
      <c r="B41" s="20" t="s">
        <v>1611</v>
      </c>
      <c r="C41" s="21">
        <v>1</v>
      </c>
      <c r="D41" s="22">
        <v>35.99</v>
      </c>
      <c r="E41" s="21" t="s">
        <v>1612</v>
      </c>
      <c r="F41" s="20" t="s">
        <v>394</v>
      </c>
      <c r="G41" s="19"/>
      <c r="H41" s="20" t="s">
        <v>745</v>
      </c>
      <c r="I41" s="20" t="s">
        <v>1613</v>
      </c>
      <c r="J41" s="20" t="s">
        <v>20</v>
      </c>
      <c r="K41" s="20" t="s">
        <v>1614</v>
      </c>
      <c r="L41" s="23" t="str">
        <f>HYPERLINK("http://slimages.macys.com/is/image/MCY/15895728 ")</f>
        <v xml:space="preserve">http://slimages.macys.com/is/image/MCY/15895728 </v>
      </c>
    </row>
    <row r="42" spans="1:12" ht="36" x14ac:dyDescent="0.25">
      <c r="A42" s="19" t="s">
        <v>1615</v>
      </c>
      <c r="B42" s="20" t="s">
        <v>1616</v>
      </c>
      <c r="C42" s="21">
        <v>1</v>
      </c>
      <c r="D42" s="22">
        <v>35.99</v>
      </c>
      <c r="E42" s="21" t="s">
        <v>1617</v>
      </c>
      <c r="F42" s="20" t="s">
        <v>54</v>
      </c>
      <c r="G42" s="19"/>
      <c r="H42" s="20" t="s">
        <v>745</v>
      </c>
      <c r="I42" s="20" t="s">
        <v>1613</v>
      </c>
      <c r="J42" s="20" t="s">
        <v>20</v>
      </c>
      <c r="K42" s="20" t="s">
        <v>1614</v>
      </c>
      <c r="L42" s="23" t="str">
        <f>HYPERLINK("http://slimages.macys.com/is/image/MCY/15895698 ")</f>
        <v xml:space="preserve">http://slimages.macys.com/is/image/MCY/15895698 </v>
      </c>
    </row>
    <row r="43" spans="1:12" ht="36" x14ac:dyDescent="0.25">
      <c r="A43" s="19" t="s">
        <v>1618</v>
      </c>
      <c r="B43" s="20" t="s">
        <v>1619</v>
      </c>
      <c r="C43" s="21">
        <v>1</v>
      </c>
      <c r="D43" s="22">
        <v>59.99</v>
      </c>
      <c r="E43" s="21" t="s">
        <v>1620</v>
      </c>
      <c r="F43" s="20" t="s">
        <v>89</v>
      </c>
      <c r="G43" s="19"/>
      <c r="H43" s="20" t="s">
        <v>707</v>
      </c>
      <c r="I43" s="20" t="s">
        <v>708</v>
      </c>
      <c r="J43" s="20" t="s">
        <v>20</v>
      </c>
      <c r="K43" s="20" t="s">
        <v>362</v>
      </c>
      <c r="L43" s="23" t="str">
        <f>HYPERLINK("http://slimages.macys.com/is/image/MCY/15273412 ")</f>
        <v xml:space="preserve">http://slimages.macys.com/is/image/MCY/15273412 </v>
      </c>
    </row>
    <row r="44" spans="1:12" ht="36" x14ac:dyDescent="0.25">
      <c r="A44" s="19" t="s">
        <v>1621</v>
      </c>
      <c r="B44" s="20" t="s">
        <v>1622</v>
      </c>
      <c r="C44" s="21">
        <v>1</v>
      </c>
      <c r="D44" s="22">
        <v>18.989999999999998</v>
      </c>
      <c r="E44" s="21" t="s">
        <v>1623</v>
      </c>
      <c r="F44" s="20" t="s">
        <v>1008</v>
      </c>
      <c r="G44" s="19"/>
      <c r="H44" s="20" t="s">
        <v>718</v>
      </c>
      <c r="I44" s="20" t="s">
        <v>1624</v>
      </c>
      <c r="J44" s="20" t="s">
        <v>20</v>
      </c>
      <c r="K44" s="20" t="s">
        <v>396</v>
      </c>
      <c r="L44" s="23" t="str">
        <f>HYPERLINK("http://slimages.macys.com/is/image/MCY/3153811 ")</f>
        <v xml:space="preserve">http://slimages.macys.com/is/image/MCY/3153811 </v>
      </c>
    </row>
    <row r="45" spans="1:12" ht="36" x14ac:dyDescent="0.25">
      <c r="A45" s="19" t="s">
        <v>1625</v>
      </c>
      <c r="B45" s="20" t="s">
        <v>1626</v>
      </c>
      <c r="C45" s="21">
        <v>1</v>
      </c>
      <c r="D45" s="22">
        <v>39.99</v>
      </c>
      <c r="E45" s="21" t="s">
        <v>1627</v>
      </c>
      <c r="F45" s="20" t="s">
        <v>691</v>
      </c>
      <c r="G45" s="19"/>
      <c r="H45" s="20" t="s">
        <v>772</v>
      </c>
      <c r="I45" s="20" t="s">
        <v>773</v>
      </c>
      <c r="J45" s="20" t="s">
        <v>20</v>
      </c>
      <c r="K45" s="20"/>
      <c r="L45" s="23" t="str">
        <f>HYPERLINK("http://slimages.macys.com/is/image/MCY/8532748 ")</f>
        <v xml:space="preserve">http://slimages.macys.com/is/image/MCY/8532748 </v>
      </c>
    </row>
    <row r="46" spans="1:12" ht="24" x14ac:dyDescent="0.25">
      <c r="A46" s="19" t="s">
        <v>1628</v>
      </c>
      <c r="B46" s="20" t="s">
        <v>1629</v>
      </c>
      <c r="C46" s="21">
        <v>1</v>
      </c>
      <c r="D46" s="22">
        <v>11.99</v>
      </c>
      <c r="E46" s="21">
        <v>48941</v>
      </c>
      <c r="F46" s="20" t="s">
        <v>206</v>
      </c>
      <c r="G46" s="19"/>
      <c r="H46" s="20" t="s">
        <v>745</v>
      </c>
      <c r="I46" s="20" t="s">
        <v>1630</v>
      </c>
      <c r="J46" s="20" t="s">
        <v>20</v>
      </c>
      <c r="K46" s="20"/>
      <c r="L46" s="23" t="str">
        <f>HYPERLINK("http://slimages.macys.com/is/image/MCY/9056506 ")</f>
        <v xml:space="preserve">http://slimages.macys.com/is/image/MCY/9056506 </v>
      </c>
    </row>
    <row r="47" spans="1:12" ht="36" x14ac:dyDescent="0.25">
      <c r="A47" s="19" t="s">
        <v>1631</v>
      </c>
      <c r="B47" s="20" t="s">
        <v>1632</v>
      </c>
      <c r="C47" s="21">
        <v>1</v>
      </c>
      <c r="D47" s="22">
        <v>16.989999999999998</v>
      </c>
      <c r="E47" s="21" t="s">
        <v>1633</v>
      </c>
      <c r="F47" s="20" t="s">
        <v>604</v>
      </c>
      <c r="G47" s="19" t="s">
        <v>954</v>
      </c>
      <c r="H47" s="20" t="s">
        <v>916</v>
      </c>
      <c r="I47" s="20" t="s">
        <v>917</v>
      </c>
      <c r="J47" s="20" t="s">
        <v>20</v>
      </c>
      <c r="K47" s="20" t="s">
        <v>798</v>
      </c>
      <c r="L47" s="23" t="str">
        <f>HYPERLINK("http://slimages.macys.com/is/image/MCY/12737864 ")</f>
        <v xml:space="preserve">http://slimages.macys.com/is/image/MCY/12737864 </v>
      </c>
    </row>
    <row r="48" spans="1:12" ht="36" x14ac:dyDescent="0.25">
      <c r="A48" s="19" t="s">
        <v>1634</v>
      </c>
      <c r="B48" s="20" t="s">
        <v>1635</v>
      </c>
      <c r="C48" s="21">
        <v>1</v>
      </c>
      <c r="D48" s="22">
        <v>7.99</v>
      </c>
      <c r="E48" s="21" t="s">
        <v>1636</v>
      </c>
      <c r="F48" s="20" t="s">
        <v>685</v>
      </c>
      <c r="G48" s="19" t="s">
        <v>954</v>
      </c>
      <c r="H48" s="20" t="s">
        <v>940</v>
      </c>
      <c r="I48" s="20" t="s">
        <v>1166</v>
      </c>
      <c r="J48" s="20"/>
      <c r="K48" s="20"/>
      <c r="L48" s="23" t="str">
        <f>HYPERLINK("http://slimages.macys.com/is/image/MCY/17492917 ")</f>
        <v xml:space="preserve">http://slimages.macys.com/is/image/MCY/17492917 </v>
      </c>
    </row>
    <row r="49" spans="1:12" ht="36" x14ac:dyDescent="0.25">
      <c r="A49" s="19" t="s">
        <v>1637</v>
      </c>
      <c r="B49" s="20" t="s">
        <v>1638</v>
      </c>
      <c r="C49" s="21">
        <v>1</v>
      </c>
      <c r="D49" s="22">
        <v>3.99</v>
      </c>
      <c r="E49" s="21" t="s">
        <v>1639</v>
      </c>
      <c r="F49" s="20" t="s">
        <v>89</v>
      </c>
      <c r="G49" s="19"/>
      <c r="H49" s="20" t="s">
        <v>940</v>
      </c>
      <c r="I49" s="20" t="s">
        <v>1640</v>
      </c>
      <c r="J49" s="20"/>
      <c r="K49" s="20"/>
      <c r="L49" s="23" t="str">
        <f>HYPERLINK("http://slimages.macys.com/is/image/MCY/18576099 ")</f>
        <v xml:space="preserve">http://slimages.macys.com/is/image/MCY/18576099 </v>
      </c>
    </row>
    <row r="50" spans="1:12" ht="24" x14ac:dyDescent="0.25">
      <c r="A50" s="19" t="s">
        <v>1019</v>
      </c>
      <c r="B50" s="20" t="s">
        <v>694</v>
      </c>
      <c r="C50" s="21">
        <v>7</v>
      </c>
      <c r="D50" s="22">
        <v>280</v>
      </c>
      <c r="E50" s="21"/>
      <c r="F50" s="20" t="s">
        <v>16</v>
      </c>
      <c r="G50" s="19" t="s">
        <v>17</v>
      </c>
      <c r="H50" s="20" t="s">
        <v>695</v>
      </c>
      <c r="I50" s="20" t="s">
        <v>696</v>
      </c>
      <c r="J50" s="20"/>
      <c r="K50" s="20"/>
      <c r="L50" s="23"/>
    </row>
    <row r="51" spans="1:12" x14ac:dyDescent="0.25">
      <c r="A51" s="13"/>
      <c r="B51" s="14"/>
      <c r="C51" s="15"/>
      <c r="D51" s="16"/>
      <c r="E51" s="15"/>
      <c r="F51" s="14"/>
      <c r="G51" s="13"/>
      <c r="H51" s="14"/>
      <c r="I51" s="14"/>
      <c r="J51" s="14"/>
      <c r="K51" s="14"/>
      <c r="L51" s="17"/>
    </row>
    <row r="52" spans="1:12" x14ac:dyDescent="0.25">
      <c r="A52" s="13"/>
      <c r="B52" s="14"/>
      <c r="C52" s="15"/>
      <c r="D52" s="16"/>
      <c r="E52" s="15"/>
      <c r="F52" s="14"/>
      <c r="G52" s="13"/>
      <c r="H52" s="14"/>
      <c r="I52" s="14"/>
      <c r="J52" s="14"/>
      <c r="K52" s="14"/>
      <c r="L52" s="17"/>
    </row>
    <row r="53" spans="1:12" x14ac:dyDescent="0.25">
      <c r="A53" s="13"/>
      <c r="B53" s="14"/>
      <c r="C53" s="15"/>
      <c r="D53" s="16"/>
      <c r="E53" s="15"/>
      <c r="F53" s="14"/>
      <c r="G53" s="13"/>
      <c r="H53" s="14"/>
      <c r="I53" s="14"/>
      <c r="J53" s="14"/>
      <c r="K53" s="14"/>
      <c r="L53" s="17"/>
    </row>
    <row r="54" spans="1:12" x14ac:dyDescent="0.25">
      <c r="A54" s="13"/>
      <c r="B54" s="14"/>
      <c r="C54" s="15"/>
      <c r="D54" s="16"/>
      <c r="E54" s="15"/>
      <c r="F54" s="14"/>
      <c r="G54" s="13"/>
      <c r="H54" s="14"/>
      <c r="I54" s="14"/>
      <c r="J54" s="14"/>
      <c r="K54" s="14"/>
      <c r="L54" s="17"/>
    </row>
    <row r="55" spans="1:12" x14ac:dyDescent="0.25">
      <c r="A55" s="13"/>
      <c r="B55" s="14"/>
      <c r="C55" s="15"/>
      <c r="D55" s="16"/>
      <c r="E55" s="15"/>
      <c r="F55" s="14"/>
      <c r="G55" s="13"/>
      <c r="H55" s="14"/>
      <c r="I55" s="14"/>
      <c r="J55" s="14"/>
      <c r="K55" s="14"/>
      <c r="L55" s="17"/>
    </row>
    <row r="56" spans="1:12" x14ac:dyDescent="0.25">
      <c r="A56" s="13"/>
      <c r="B56" s="14"/>
      <c r="C56" s="15"/>
      <c r="D56" s="16"/>
      <c r="E56" s="15"/>
      <c r="F56" s="14"/>
      <c r="G56" s="13"/>
      <c r="H56" s="14"/>
      <c r="I56" s="14"/>
      <c r="J56" s="14"/>
      <c r="K56" s="14"/>
      <c r="L56" s="17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6"/>
  <sheetViews>
    <sheetView workbookViewId="0">
      <selection activeCell="H1" sqref="H1"/>
    </sheetView>
  </sheetViews>
  <sheetFormatPr defaultRowHeight="39.950000000000003" customHeight="1" x14ac:dyDescent="0.25"/>
  <cols>
    <col min="1" max="1" width="13.140625" style="24" bestFit="1" customWidth="1"/>
    <col min="2" max="2" width="25.140625" style="24" bestFit="1" customWidth="1"/>
    <col min="3" max="3" width="12.42578125" style="24" bestFit="1" customWidth="1"/>
    <col min="4" max="4" width="8.7109375" style="24" bestFit="1" customWidth="1"/>
    <col min="5" max="5" width="16.5703125" style="24" bestFit="1" customWidth="1"/>
    <col min="6" max="6" width="11.28515625" style="24" bestFit="1" customWidth="1"/>
    <col min="7" max="7" width="10.7109375" style="24" bestFit="1" customWidth="1"/>
    <col min="8" max="8" width="12.140625" style="24" customWidth="1"/>
    <col min="9" max="9" width="35.5703125" style="24" bestFit="1" customWidth="1"/>
    <col min="10" max="10" width="19.85546875" style="24" bestFit="1" customWidth="1"/>
    <col min="11" max="11" width="26.28515625" style="24" bestFit="1" customWidth="1"/>
    <col min="12" max="12" width="32.5703125" style="24" customWidth="1"/>
    <col min="13" max="16384" width="9.140625" style="24"/>
  </cols>
  <sheetData>
    <row r="1" spans="1:12" ht="39.950000000000003" customHeight="1" x14ac:dyDescent="0.25">
      <c r="A1" s="18" t="s">
        <v>2</v>
      </c>
      <c r="B1" s="18" t="s">
        <v>3</v>
      </c>
      <c r="C1" s="18" t="s">
        <v>4</v>
      </c>
      <c r="D1" s="18" t="s">
        <v>5</v>
      </c>
      <c r="E1" s="18" t="s">
        <v>6</v>
      </c>
      <c r="F1" s="18" t="s">
        <v>7</v>
      </c>
      <c r="G1" s="18" t="s">
        <v>8</v>
      </c>
      <c r="H1" s="18" t="s">
        <v>9</v>
      </c>
      <c r="I1" s="18" t="s">
        <v>10</v>
      </c>
      <c r="J1" s="18" t="s">
        <v>11</v>
      </c>
      <c r="K1" s="18" t="s">
        <v>12</v>
      </c>
      <c r="L1" s="18" t="s">
        <v>13</v>
      </c>
    </row>
    <row r="2" spans="1:12" ht="39.950000000000003" customHeight="1" x14ac:dyDescent="0.25">
      <c r="A2" s="19" t="s">
        <v>1641</v>
      </c>
      <c r="B2" s="20" t="s">
        <v>1642</v>
      </c>
      <c r="C2" s="21">
        <v>1</v>
      </c>
      <c r="D2" s="22">
        <v>323.99</v>
      </c>
      <c r="E2" s="21" t="s">
        <v>1643</v>
      </c>
      <c r="F2" s="20" t="s">
        <v>89</v>
      </c>
      <c r="G2" s="19"/>
      <c r="H2" s="20" t="s">
        <v>1644</v>
      </c>
      <c r="I2" s="20" t="s">
        <v>783</v>
      </c>
      <c r="J2" s="20" t="s">
        <v>110</v>
      </c>
      <c r="K2" s="20" t="s">
        <v>1645</v>
      </c>
      <c r="L2" s="23" t="str">
        <f>HYPERLINK("http://slimages.macys.com/is/image/MCY/11798310 ")</f>
        <v xml:space="preserve">http://slimages.macys.com/is/image/MCY/11798310 </v>
      </c>
    </row>
    <row r="3" spans="1:12" ht="39.950000000000003" customHeight="1" x14ac:dyDescent="0.25">
      <c r="A3" s="19" t="s">
        <v>1646</v>
      </c>
      <c r="B3" s="20" t="s">
        <v>1647</v>
      </c>
      <c r="C3" s="21">
        <v>1</v>
      </c>
      <c r="D3" s="22">
        <v>279.99</v>
      </c>
      <c r="E3" s="21" t="s">
        <v>1648</v>
      </c>
      <c r="F3" s="20" t="s">
        <v>555</v>
      </c>
      <c r="G3" s="19"/>
      <c r="H3" s="20" t="s">
        <v>700</v>
      </c>
      <c r="I3" s="20" t="s">
        <v>701</v>
      </c>
      <c r="J3" s="20" t="s">
        <v>20</v>
      </c>
      <c r="K3" s="20" t="s">
        <v>1493</v>
      </c>
      <c r="L3" s="23" t="str">
        <f>HYPERLINK("http://slimages.macys.com/is/image/MCY/16404494 ")</f>
        <v xml:space="preserve">http://slimages.macys.com/is/image/MCY/16404494 </v>
      </c>
    </row>
    <row r="4" spans="1:12" ht="39.950000000000003" customHeight="1" x14ac:dyDescent="0.25">
      <c r="A4" s="19" t="s">
        <v>1649</v>
      </c>
      <c r="B4" s="20" t="s">
        <v>1650</v>
      </c>
      <c r="C4" s="21">
        <v>1</v>
      </c>
      <c r="D4" s="22">
        <v>249.99</v>
      </c>
      <c r="E4" s="21" t="s">
        <v>1651</v>
      </c>
      <c r="F4" s="20" t="s">
        <v>89</v>
      </c>
      <c r="G4" s="19"/>
      <c r="H4" s="20" t="s">
        <v>707</v>
      </c>
      <c r="I4" s="20" t="s">
        <v>1110</v>
      </c>
      <c r="J4" s="20" t="s">
        <v>20</v>
      </c>
      <c r="K4" s="20" t="s">
        <v>1652</v>
      </c>
      <c r="L4" s="23" t="str">
        <f>HYPERLINK("http://slimages.macys.com/is/image/MCY/12898925 ")</f>
        <v xml:space="preserve">http://slimages.macys.com/is/image/MCY/12898925 </v>
      </c>
    </row>
    <row r="5" spans="1:12" ht="39.950000000000003" customHeight="1" x14ac:dyDescent="0.25">
      <c r="A5" s="19" t="s">
        <v>1653</v>
      </c>
      <c r="B5" s="20" t="s">
        <v>1654</v>
      </c>
      <c r="C5" s="21">
        <v>1</v>
      </c>
      <c r="D5" s="22">
        <v>299.99</v>
      </c>
      <c r="E5" s="21" t="s">
        <v>1655</v>
      </c>
      <c r="F5" s="20" t="s">
        <v>555</v>
      </c>
      <c r="G5" s="19"/>
      <c r="H5" s="20" t="s">
        <v>700</v>
      </c>
      <c r="I5" s="20" t="s">
        <v>701</v>
      </c>
      <c r="J5" s="20" t="s">
        <v>132</v>
      </c>
      <c r="K5" s="20" t="s">
        <v>798</v>
      </c>
      <c r="L5" s="23" t="str">
        <f>HYPERLINK("http://images.bloomingdales.com/is/image/BLM/10806861 ")</f>
        <v xml:space="preserve">http://images.bloomingdales.com/is/image/BLM/10806861 </v>
      </c>
    </row>
    <row r="6" spans="1:12" ht="39.950000000000003" customHeight="1" x14ac:dyDescent="0.25">
      <c r="A6" s="19" t="s">
        <v>1656</v>
      </c>
      <c r="B6" s="20" t="s">
        <v>1657</v>
      </c>
      <c r="C6" s="21">
        <v>1</v>
      </c>
      <c r="D6" s="22">
        <v>220.99</v>
      </c>
      <c r="E6" s="21" t="s">
        <v>1658</v>
      </c>
      <c r="F6" s="20" t="s">
        <v>78</v>
      </c>
      <c r="G6" s="19"/>
      <c r="H6" s="20" t="s">
        <v>745</v>
      </c>
      <c r="I6" s="20" t="s">
        <v>1659</v>
      </c>
      <c r="J6" s="20" t="s">
        <v>20</v>
      </c>
      <c r="K6" s="20" t="s">
        <v>330</v>
      </c>
      <c r="L6" s="23" t="str">
        <f>HYPERLINK("http://slimages.macys.com/is/image/MCY/11630164 ")</f>
        <v xml:space="preserve">http://slimages.macys.com/is/image/MCY/11630164 </v>
      </c>
    </row>
    <row r="7" spans="1:12" ht="39.950000000000003" customHeight="1" x14ac:dyDescent="0.25">
      <c r="A7" s="19" t="s">
        <v>1660</v>
      </c>
      <c r="B7" s="20" t="s">
        <v>1661</v>
      </c>
      <c r="C7" s="21">
        <v>1</v>
      </c>
      <c r="D7" s="22">
        <v>220.99</v>
      </c>
      <c r="E7" s="21" t="s">
        <v>1662</v>
      </c>
      <c r="F7" s="20" t="s">
        <v>89</v>
      </c>
      <c r="G7" s="19"/>
      <c r="H7" s="20" t="s">
        <v>745</v>
      </c>
      <c r="I7" s="20" t="s">
        <v>1659</v>
      </c>
      <c r="J7" s="20" t="s">
        <v>20</v>
      </c>
      <c r="K7" s="20" t="s">
        <v>330</v>
      </c>
      <c r="L7" s="23" t="str">
        <f>HYPERLINK("http://slimages.macys.com/is/image/MCY/11630203 ")</f>
        <v xml:space="preserve">http://slimages.macys.com/is/image/MCY/11630203 </v>
      </c>
    </row>
    <row r="8" spans="1:12" ht="39.950000000000003" customHeight="1" x14ac:dyDescent="0.25">
      <c r="A8" s="19" t="s">
        <v>1663</v>
      </c>
      <c r="B8" s="20" t="s">
        <v>1664</v>
      </c>
      <c r="C8" s="21">
        <v>1</v>
      </c>
      <c r="D8" s="22">
        <v>149.99</v>
      </c>
      <c r="E8" s="21" t="s">
        <v>1665</v>
      </c>
      <c r="F8" s="20" t="s">
        <v>555</v>
      </c>
      <c r="G8" s="19"/>
      <c r="H8" s="20" t="s">
        <v>734</v>
      </c>
      <c r="I8" s="20" t="s">
        <v>1564</v>
      </c>
      <c r="J8" s="20" t="s">
        <v>20</v>
      </c>
      <c r="K8" s="20" t="s">
        <v>330</v>
      </c>
      <c r="L8" s="23" t="str">
        <f>HYPERLINK("http://slimages.macys.com/is/image/MCY/13744423 ")</f>
        <v xml:space="preserve">http://slimages.macys.com/is/image/MCY/13744423 </v>
      </c>
    </row>
    <row r="9" spans="1:12" ht="39.950000000000003" customHeight="1" x14ac:dyDescent="0.25">
      <c r="A9" s="19" t="s">
        <v>1666</v>
      </c>
      <c r="B9" s="20" t="s">
        <v>1667</v>
      </c>
      <c r="C9" s="21">
        <v>1</v>
      </c>
      <c r="D9" s="22">
        <v>149.99</v>
      </c>
      <c r="E9" s="21" t="s">
        <v>1668</v>
      </c>
      <c r="F9" s="20" t="s">
        <v>555</v>
      </c>
      <c r="G9" s="19"/>
      <c r="H9" s="20" t="s">
        <v>831</v>
      </c>
      <c r="I9" s="20" t="s">
        <v>1669</v>
      </c>
      <c r="J9" s="20"/>
      <c r="K9" s="20"/>
      <c r="L9" s="23" t="str">
        <f>HYPERLINK("http://slimages.macys.com/is/image/MCY/17837977 ")</f>
        <v xml:space="preserve">http://slimages.macys.com/is/image/MCY/17837977 </v>
      </c>
    </row>
    <row r="10" spans="1:12" ht="39.950000000000003" customHeight="1" x14ac:dyDescent="0.25">
      <c r="A10" s="19" t="s">
        <v>1504</v>
      </c>
      <c r="B10" s="20" t="s">
        <v>1505</v>
      </c>
      <c r="C10" s="21">
        <v>1</v>
      </c>
      <c r="D10" s="22">
        <v>109.99</v>
      </c>
      <c r="E10" s="21" t="s">
        <v>1506</v>
      </c>
      <c r="F10" s="20" t="s">
        <v>89</v>
      </c>
      <c r="G10" s="19"/>
      <c r="H10" s="20" t="s">
        <v>772</v>
      </c>
      <c r="I10" s="20" t="s">
        <v>773</v>
      </c>
      <c r="J10" s="20" t="s">
        <v>20</v>
      </c>
      <c r="K10" s="20"/>
      <c r="L10" s="23" t="str">
        <f>HYPERLINK("http://slimages.macys.com/is/image/MCY/11534834 ")</f>
        <v xml:space="preserve">http://slimages.macys.com/is/image/MCY/11534834 </v>
      </c>
    </row>
    <row r="11" spans="1:12" ht="39.950000000000003" customHeight="1" x14ac:dyDescent="0.25">
      <c r="A11" s="19" t="s">
        <v>1670</v>
      </c>
      <c r="B11" s="20" t="s">
        <v>1671</v>
      </c>
      <c r="C11" s="21">
        <v>1</v>
      </c>
      <c r="D11" s="22">
        <v>149.99</v>
      </c>
      <c r="E11" s="21" t="s">
        <v>1672</v>
      </c>
      <c r="F11" s="20" t="s">
        <v>691</v>
      </c>
      <c r="G11" s="19"/>
      <c r="H11" s="20" t="s">
        <v>1673</v>
      </c>
      <c r="I11" s="20" t="s">
        <v>1674</v>
      </c>
      <c r="J11" s="20"/>
      <c r="K11" s="20"/>
      <c r="L11" s="23" t="str">
        <f>HYPERLINK("http://slimages.macys.com/is/image/MCY/18400106 ")</f>
        <v xml:space="preserve">http://slimages.macys.com/is/image/MCY/18400106 </v>
      </c>
    </row>
    <row r="12" spans="1:12" ht="39.950000000000003" customHeight="1" x14ac:dyDescent="0.25">
      <c r="A12" s="19" t="s">
        <v>1675</v>
      </c>
      <c r="B12" s="20" t="s">
        <v>1676</v>
      </c>
      <c r="C12" s="21">
        <v>1</v>
      </c>
      <c r="D12" s="22">
        <v>119.99</v>
      </c>
      <c r="E12" s="21" t="s">
        <v>1677</v>
      </c>
      <c r="F12" s="20" t="s">
        <v>31</v>
      </c>
      <c r="G12" s="19"/>
      <c r="H12" s="20" t="s">
        <v>772</v>
      </c>
      <c r="I12" s="20" t="s">
        <v>773</v>
      </c>
      <c r="J12" s="20" t="s">
        <v>20</v>
      </c>
      <c r="K12" s="20" t="s">
        <v>341</v>
      </c>
      <c r="L12" s="23" t="str">
        <f>HYPERLINK("http://slimages.macys.com/is/image/MCY/11607139 ")</f>
        <v xml:space="preserve">http://slimages.macys.com/is/image/MCY/11607139 </v>
      </c>
    </row>
    <row r="13" spans="1:12" ht="39.950000000000003" customHeight="1" x14ac:dyDescent="0.25">
      <c r="A13" s="19" t="s">
        <v>1678</v>
      </c>
      <c r="B13" s="20" t="s">
        <v>1679</v>
      </c>
      <c r="C13" s="21">
        <v>1</v>
      </c>
      <c r="D13" s="22">
        <v>68</v>
      </c>
      <c r="E13" s="21" t="s">
        <v>1680</v>
      </c>
      <c r="F13" s="20" t="s">
        <v>54</v>
      </c>
      <c r="G13" s="19"/>
      <c r="H13" s="20" t="s">
        <v>712</v>
      </c>
      <c r="I13" s="20" t="s">
        <v>1681</v>
      </c>
      <c r="J13" s="20" t="s">
        <v>1682</v>
      </c>
      <c r="K13" s="20" t="s">
        <v>1683</v>
      </c>
      <c r="L13" s="23" t="str">
        <f>HYPERLINK("http://images.bloomingdales.com/is/image/BLM/9773044 ")</f>
        <v xml:space="preserve">http://images.bloomingdales.com/is/image/BLM/9773044 </v>
      </c>
    </row>
    <row r="14" spans="1:12" ht="39.950000000000003" customHeight="1" x14ac:dyDescent="0.25">
      <c r="A14" s="19" t="s">
        <v>1684</v>
      </c>
      <c r="B14" s="20" t="s">
        <v>1685</v>
      </c>
      <c r="C14" s="21">
        <v>1</v>
      </c>
      <c r="D14" s="22">
        <v>164.99</v>
      </c>
      <c r="E14" s="21" t="s">
        <v>1686</v>
      </c>
      <c r="F14" s="20" t="s">
        <v>89</v>
      </c>
      <c r="G14" s="19" t="s">
        <v>1687</v>
      </c>
      <c r="H14" s="20" t="s">
        <v>707</v>
      </c>
      <c r="I14" s="20" t="s">
        <v>730</v>
      </c>
      <c r="J14" s="20" t="s">
        <v>20</v>
      </c>
      <c r="K14" s="20" t="s">
        <v>846</v>
      </c>
      <c r="L14" s="23" t="str">
        <f>HYPERLINK("http://slimages.macys.com/is/image/MCY/8182285 ")</f>
        <v xml:space="preserve">http://slimages.macys.com/is/image/MCY/8182285 </v>
      </c>
    </row>
    <row r="15" spans="1:12" ht="39.950000000000003" customHeight="1" x14ac:dyDescent="0.25">
      <c r="A15" s="19" t="s">
        <v>1688</v>
      </c>
      <c r="B15" s="20" t="s">
        <v>1689</v>
      </c>
      <c r="C15" s="21">
        <v>1</v>
      </c>
      <c r="D15" s="22">
        <v>79.989999999999995</v>
      </c>
      <c r="E15" s="21" t="s">
        <v>1690</v>
      </c>
      <c r="F15" s="20" t="s">
        <v>604</v>
      </c>
      <c r="G15" s="19"/>
      <c r="H15" s="20" t="s">
        <v>745</v>
      </c>
      <c r="I15" s="20" t="s">
        <v>1691</v>
      </c>
      <c r="J15" s="20"/>
      <c r="K15" s="20"/>
      <c r="L15" s="23" t="str">
        <f>HYPERLINK("http://slimages.macys.com/is/image/MCY/18059548 ")</f>
        <v xml:space="preserve">http://slimages.macys.com/is/image/MCY/18059548 </v>
      </c>
    </row>
    <row r="16" spans="1:12" ht="39.950000000000003" customHeight="1" x14ac:dyDescent="0.25">
      <c r="A16" s="19" t="s">
        <v>1692</v>
      </c>
      <c r="B16" s="20" t="s">
        <v>1693</v>
      </c>
      <c r="C16" s="21">
        <v>1</v>
      </c>
      <c r="D16" s="22">
        <v>49.99</v>
      </c>
      <c r="E16" s="21" t="s">
        <v>1694</v>
      </c>
      <c r="F16" s="20" t="s">
        <v>1124</v>
      </c>
      <c r="G16" s="19"/>
      <c r="H16" s="20" t="s">
        <v>712</v>
      </c>
      <c r="I16" s="20" t="s">
        <v>1092</v>
      </c>
      <c r="J16" s="20" t="s">
        <v>20</v>
      </c>
      <c r="K16" s="20" t="s">
        <v>396</v>
      </c>
      <c r="L16" s="23" t="str">
        <f>HYPERLINK("http://slimages.macys.com/is/image/MCY/8347198 ")</f>
        <v xml:space="preserve">http://slimages.macys.com/is/image/MCY/8347198 </v>
      </c>
    </row>
    <row r="17" spans="1:12" ht="39.950000000000003" customHeight="1" x14ac:dyDescent="0.25">
      <c r="A17" s="19" t="s">
        <v>1695</v>
      </c>
      <c r="B17" s="20" t="s">
        <v>1696</v>
      </c>
      <c r="C17" s="21">
        <v>1</v>
      </c>
      <c r="D17" s="22">
        <v>49.99</v>
      </c>
      <c r="E17" s="21" t="s">
        <v>1697</v>
      </c>
      <c r="F17" s="20" t="s">
        <v>1124</v>
      </c>
      <c r="G17" s="19"/>
      <c r="H17" s="20" t="s">
        <v>712</v>
      </c>
      <c r="I17" s="20" t="s">
        <v>1092</v>
      </c>
      <c r="J17" s="20" t="s">
        <v>20</v>
      </c>
      <c r="K17" s="20" t="s">
        <v>396</v>
      </c>
      <c r="L17" s="23" t="str">
        <f>HYPERLINK("http://slimages.macys.com/is/image/MCY/8347198 ")</f>
        <v xml:space="preserve">http://slimages.macys.com/is/image/MCY/8347198 </v>
      </c>
    </row>
    <row r="18" spans="1:12" ht="39.950000000000003" customHeight="1" x14ac:dyDescent="0.25">
      <c r="A18" s="19" t="s">
        <v>1698</v>
      </c>
      <c r="B18" s="20" t="s">
        <v>1699</v>
      </c>
      <c r="C18" s="21">
        <v>1</v>
      </c>
      <c r="D18" s="22">
        <v>49.99</v>
      </c>
      <c r="E18" s="21" t="s">
        <v>1700</v>
      </c>
      <c r="F18" s="20"/>
      <c r="G18" s="19"/>
      <c r="H18" s="20" t="s">
        <v>712</v>
      </c>
      <c r="I18" s="20" t="s">
        <v>1576</v>
      </c>
      <c r="J18" s="20"/>
      <c r="K18" s="20"/>
      <c r="L18" s="23" t="str">
        <f>HYPERLINK("http://slimages.macys.com/is/image/MCY/17088229 ")</f>
        <v xml:space="preserve">http://slimages.macys.com/is/image/MCY/17088229 </v>
      </c>
    </row>
    <row r="19" spans="1:12" ht="39.950000000000003" customHeight="1" x14ac:dyDescent="0.25">
      <c r="A19" s="19" t="s">
        <v>1701</v>
      </c>
      <c r="B19" s="20" t="s">
        <v>1702</v>
      </c>
      <c r="C19" s="21">
        <v>4</v>
      </c>
      <c r="D19" s="22">
        <v>143.96</v>
      </c>
      <c r="E19" s="21" t="s">
        <v>1703</v>
      </c>
      <c r="F19" s="20" t="s">
        <v>922</v>
      </c>
      <c r="G19" s="19" t="s">
        <v>1704</v>
      </c>
      <c r="H19" s="20" t="s">
        <v>940</v>
      </c>
      <c r="I19" s="20" t="s">
        <v>1705</v>
      </c>
      <c r="J19" s="20"/>
      <c r="K19" s="20"/>
      <c r="L19" s="23" t="str">
        <f>HYPERLINK("http://slimages.macys.com/is/image/MCY/17769946 ")</f>
        <v xml:space="preserve">http://slimages.macys.com/is/image/MCY/17769946 </v>
      </c>
    </row>
    <row r="20" spans="1:12" ht="39.950000000000003" customHeight="1" x14ac:dyDescent="0.25">
      <c r="A20" s="19" t="s">
        <v>1706</v>
      </c>
      <c r="B20" s="20" t="s">
        <v>1707</v>
      </c>
      <c r="C20" s="21">
        <v>2</v>
      </c>
      <c r="D20" s="22">
        <v>129.97999999999999</v>
      </c>
      <c r="E20" s="21" t="s">
        <v>1708</v>
      </c>
      <c r="F20" s="20" t="s">
        <v>89</v>
      </c>
      <c r="G20" s="19" t="s">
        <v>1065</v>
      </c>
      <c r="H20" s="20" t="s">
        <v>724</v>
      </c>
      <c r="I20" s="20" t="s">
        <v>1709</v>
      </c>
      <c r="J20" s="20" t="s">
        <v>1067</v>
      </c>
      <c r="K20" s="20" t="s">
        <v>1710</v>
      </c>
      <c r="L20" s="23" t="str">
        <f>HYPERLINK("http://slimages.macys.com/is/image/MCY/13368404 ")</f>
        <v xml:space="preserve">http://slimages.macys.com/is/image/MCY/13368404 </v>
      </c>
    </row>
    <row r="21" spans="1:12" ht="39.950000000000003" customHeight="1" x14ac:dyDescent="0.25">
      <c r="A21" s="19" t="s">
        <v>1711</v>
      </c>
      <c r="B21" s="20" t="s">
        <v>1712</v>
      </c>
      <c r="C21" s="21">
        <v>1</v>
      </c>
      <c r="D21" s="22">
        <v>50</v>
      </c>
      <c r="E21" s="21" t="s">
        <v>1713</v>
      </c>
      <c r="F21" s="20" t="s">
        <v>89</v>
      </c>
      <c r="G21" s="19" t="s">
        <v>1012</v>
      </c>
      <c r="H21" s="20" t="s">
        <v>940</v>
      </c>
      <c r="I21" s="20" t="s">
        <v>1714</v>
      </c>
      <c r="J21" s="20" t="s">
        <v>1715</v>
      </c>
      <c r="K21" s="20" t="s">
        <v>1716</v>
      </c>
      <c r="L21" s="23" t="str">
        <f>HYPERLINK("http://images.bloomingdales.com/is/image/BLM/10001634 ")</f>
        <v xml:space="preserve">http://images.bloomingdales.com/is/image/BLM/10001634 </v>
      </c>
    </row>
    <row r="22" spans="1:12" ht="39.950000000000003" customHeight="1" x14ac:dyDescent="0.25">
      <c r="A22" s="19" t="s">
        <v>1717</v>
      </c>
      <c r="B22" s="20" t="s">
        <v>1718</v>
      </c>
      <c r="C22" s="21">
        <v>1</v>
      </c>
      <c r="D22" s="22">
        <v>31.99</v>
      </c>
      <c r="E22" s="21">
        <v>57829</v>
      </c>
      <c r="F22" s="20" t="s">
        <v>206</v>
      </c>
      <c r="G22" s="19"/>
      <c r="H22" s="20" t="s">
        <v>745</v>
      </c>
      <c r="I22" s="20" t="s">
        <v>1630</v>
      </c>
      <c r="J22" s="20"/>
      <c r="K22" s="20"/>
      <c r="L22" s="23" t="str">
        <f>HYPERLINK("http://slimages.macys.com/is/image/MCY/17939279 ")</f>
        <v xml:space="preserve">http://slimages.macys.com/is/image/MCY/17939279 </v>
      </c>
    </row>
    <row r="23" spans="1:12" ht="39.950000000000003" customHeight="1" x14ac:dyDescent="0.25">
      <c r="A23" s="19" t="s">
        <v>1719</v>
      </c>
      <c r="B23" s="20" t="s">
        <v>1720</v>
      </c>
      <c r="C23" s="21">
        <v>1</v>
      </c>
      <c r="D23" s="22">
        <v>37.99</v>
      </c>
      <c r="E23" s="21" t="s">
        <v>1721</v>
      </c>
      <c r="F23" s="20" t="s">
        <v>89</v>
      </c>
      <c r="G23" s="19" t="s">
        <v>899</v>
      </c>
      <c r="H23" s="20" t="s">
        <v>765</v>
      </c>
      <c r="I23" s="20" t="s">
        <v>1722</v>
      </c>
      <c r="J23" s="20" t="s">
        <v>20</v>
      </c>
      <c r="K23" s="20" t="s">
        <v>1723</v>
      </c>
      <c r="L23" s="23" t="str">
        <f>HYPERLINK("http://slimages.macys.com/is/image/MCY/14905702 ")</f>
        <v xml:space="preserve">http://slimages.macys.com/is/image/MCY/14905702 </v>
      </c>
    </row>
    <row r="24" spans="1:12" ht="39.950000000000003" customHeight="1" x14ac:dyDescent="0.25">
      <c r="A24" s="19" t="s">
        <v>1724</v>
      </c>
      <c r="B24" s="20" t="s">
        <v>1725</v>
      </c>
      <c r="C24" s="21">
        <v>1</v>
      </c>
      <c r="D24" s="22">
        <v>37.99</v>
      </c>
      <c r="E24" s="21" t="s">
        <v>1726</v>
      </c>
      <c r="F24" s="20" t="s">
        <v>394</v>
      </c>
      <c r="G24" s="19" t="s">
        <v>899</v>
      </c>
      <c r="H24" s="20" t="s">
        <v>765</v>
      </c>
      <c r="I24" s="20" t="s">
        <v>1722</v>
      </c>
      <c r="J24" s="20" t="s">
        <v>20</v>
      </c>
      <c r="K24" s="20" t="s">
        <v>1723</v>
      </c>
      <c r="L24" s="23" t="str">
        <f>HYPERLINK("http://slimages.macys.com/is/image/MCY/14905702 ")</f>
        <v xml:space="preserve">http://slimages.macys.com/is/image/MCY/14905702 </v>
      </c>
    </row>
    <row r="25" spans="1:12" ht="39.950000000000003" customHeight="1" x14ac:dyDescent="0.25">
      <c r="A25" s="19" t="s">
        <v>1727</v>
      </c>
      <c r="B25" s="20" t="s">
        <v>1728</v>
      </c>
      <c r="C25" s="21">
        <v>1</v>
      </c>
      <c r="D25" s="22">
        <v>39.99</v>
      </c>
      <c r="E25" s="21" t="s">
        <v>1729</v>
      </c>
      <c r="F25" s="20" t="s">
        <v>1036</v>
      </c>
      <c r="G25" s="19" t="s">
        <v>1687</v>
      </c>
      <c r="H25" s="20" t="s">
        <v>1157</v>
      </c>
      <c r="I25" s="20" t="s">
        <v>1158</v>
      </c>
      <c r="J25" s="20" t="s">
        <v>20</v>
      </c>
      <c r="K25" s="20" t="s">
        <v>341</v>
      </c>
      <c r="L25" s="23" t="str">
        <f>HYPERLINK("http://slimages.macys.com/is/image/MCY/9513121 ")</f>
        <v xml:space="preserve">http://slimages.macys.com/is/image/MCY/9513121 </v>
      </c>
    </row>
    <row r="26" spans="1:12" ht="39.950000000000003" customHeight="1" x14ac:dyDescent="0.25">
      <c r="A26" s="19" t="s">
        <v>1730</v>
      </c>
      <c r="B26" s="20" t="s">
        <v>1731</v>
      </c>
      <c r="C26" s="21">
        <v>1</v>
      </c>
      <c r="D26" s="22">
        <v>29.99</v>
      </c>
      <c r="E26" s="21" t="s">
        <v>1732</v>
      </c>
      <c r="F26" s="20"/>
      <c r="G26" s="19"/>
      <c r="H26" s="20" t="s">
        <v>712</v>
      </c>
      <c r="I26" s="20" t="s">
        <v>1576</v>
      </c>
      <c r="J26" s="20"/>
      <c r="K26" s="20"/>
      <c r="L26" s="23" t="str">
        <f>HYPERLINK("http://slimages.macys.com/is/image/MCY/17597058 ")</f>
        <v xml:space="preserve">http://slimages.macys.com/is/image/MCY/17597058 </v>
      </c>
    </row>
    <row r="27" spans="1:12" ht="39.950000000000003" customHeight="1" x14ac:dyDescent="0.25">
      <c r="A27" s="19" t="s">
        <v>1733</v>
      </c>
      <c r="B27" s="20" t="s">
        <v>1734</v>
      </c>
      <c r="C27" s="21">
        <v>1</v>
      </c>
      <c r="D27" s="22">
        <v>24.99</v>
      </c>
      <c r="E27" s="21" t="s">
        <v>1735</v>
      </c>
      <c r="F27" s="20" t="s">
        <v>755</v>
      </c>
      <c r="G27" s="19"/>
      <c r="H27" s="20" t="s">
        <v>718</v>
      </c>
      <c r="I27" s="20" t="s">
        <v>949</v>
      </c>
      <c r="J27" s="20" t="s">
        <v>20</v>
      </c>
      <c r="K27" s="20" t="s">
        <v>950</v>
      </c>
      <c r="L27" s="23" t="str">
        <f>HYPERLINK("http://slimages.macys.com/is/image/MCY/13742796 ")</f>
        <v xml:space="preserve">http://slimages.macys.com/is/image/MCY/13742796 </v>
      </c>
    </row>
    <row r="28" spans="1:12" ht="39.950000000000003" customHeight="1" x14ac:dyDescent="0.25">
      <c r="A28" s="19" t="s">
        <v>1736</v>
      </c>
      <c r="B28" s="20" t="s">
        <v>1737</v>
      </c>
      <c r="C28" s="21">
        <v>1</v>
      </c>
      <c r="D28" s="22">
        <v>24.99</v>
      </c>
      <c r="E28" s="21" t="s">
        <v>1738</v>
      </c>
      <c r="F28" s="20" t="s">
        <v>755</v>
      </c>
      <c r="G28" s="19"/>
      <c r="H28" s="20" t="s">
        <v>865</v>
      </c>
      <c r="I28" s="20" t="s">
        <v>1739</v>
      </c>
      <c r="J28" s="20"/>
      <c r="K28" s="20"/>
      <c r="L28" s="23" t="str">
        <f>HYPERLINK("http://slimages.macys.com/is/image/MCY/17800474 ")</f>
        <v xml:space="preserve">http://slimages.macys.com/is/image/MCY/17800474 </v>
      </c>
    </row>
    <row r="29" spans="1:12" ht="39.950000000000003" customHeight="1" x14ac:dyDescent="0.25">
      <c r="A29" s="19" t="s">
        <v>1740</v>
      </c>
      <c r="B29" s="20" t="s">
        <v>1741</v>
      </c>
      <c r="C29" s="21">
        <v>2</v>
      </c>
      <c r="D29" s="22">
        <v>69.98</v>
      </c>
      <c r="E29" s="21" t="s">
        <v>1742</v>
      </c>
      <c r="F29" s="20" t="s">
        <v>89</v>
      </c>
      <c r="G29" s="19" t="s">
        <v>1065</v>
      </c>
      <c r="H29" s="20" t="s">
        <v>724</v>
      </c>
      <c r="I29" s="20" t="s">
        <v>1066</v>
      </c>
      <c r="J29" s="20" t="s">
        <v>20</v>
      </c>
      <c r="K29" s="20"/>
      <c r="L29" s="23" t="str">
        <f>HYPERLINK("http://slimages.macys.com/is/image/MCY/16904236 ")</f>
        <v xml:space="preserve">http://slimages.macys.com/is/image/MCY/16904236 </v>
      </c>
    </row>
    <row r="30" spans="1:12" ht="39.950000000000003" customHeight="1" x14ac:dyDescent="0.25">
      <c r="A30" s="19" t="s">
        <v>1743</v>
      </c>
      <c r="B30" s="20" t="s">
        <v>1744</v>
      </c>
      <c r="C30" s="21">
        <v>1</v>
      </c>
      <c r="D30" s="22">
        <v>29.99</v>
      </c>
      <c r="E30" s="21" t="s">
        <v>1745</v>
      </c>
      <c r="F30" s="20" t="s">
        <v>685</v>
      </c>
      <c r="G30" s="19" t="s">
        <v>1012</v>
      </c>
      <c r="H30" s="20" t="s">
        <v>940</v>
      </c>
      <c r="I30" s="20" t="s">
        <v>1681</v>
      </c>
      <c r="J30" s="20" t="s">
        <v>1715</v>
      </c>
      <c r="K30" s="20" t="s">
        <v>330</v>
      </c>
      <c r="L30" s="23" t="str">
        <f>HYPERLINK("http://images.bloomingdales.com/is/image/BLM/10230973 ")</f>
        <v xml:space="preserve">http://images.bloomingdales.com/is/image/BLM/10230973 </v>
      </c>
    </row>
    <row r="31" spans="1:12" ht="39.950000000000003" customHeight="1" x14ac:dyDescent="0.25">
      <c r="A31" s="19" t="s">
        <v>1746</v>
      </c>
      <c r="B31" s="20" t="s">
        <v>1747</v>
      </c>
      <c r="C31" s="21">
        <v>1</v>
      </c>
      <c r="D31" s="22">
        <v>29.99</v>
      </c>
      <c r="E31" s="21" t="s">
        <v>1748</v>
      </c>
      <c r="F31" s="20" t="s">
        <v>16</v>
      </c>
      <c r="G31" s="19" t="s">
        <v>1749</v>
      </c>
      <c r="H31" s="20" t="s">
        <v>724</v>
      </c>
      <c r="I31" s="20" t="s">
        <v>997</v>
      </c>
      <c r="J31" s="20" t="s">
        <v>20</v>
      </c>
      <c r="K31" s="20" t="s">
        <v>1750</v>
      </c>
      <c r="L31" s="23" t="str">
        <f>HYPERLINK("http://slimages.macys.com/is/image/MCY/256335 ")</f>
        <v xml:space="preserve">http://slimages.macys.com/is/image/MCY/256335 </v>
      </c>
    </row>
    <row r="32" spans="1:12" ht="39.950000000000003" customHeight="1" x14ac:dyDescent="0.25">
      <c r="A32" s="19" t="s">
        <v>1751</v>
      </c>
      <c r="B32" s="20" t="s">
        <v>1752</v>
      </c>
      <c r="C32" s="21">
        <v>1</v>
      </c>
      <c r="D32" s="22">
        <v>24.99</v>
      </c>
      <c r="E32" s="21">
        <v>99001</v>
      </c>
      <c r="F32" s="20" t="s">
        <v>89</v>
      </c>
      <c r="G32" s="19"/>
      <c r="H32" s="20" t="s">
        <v>724</v>
      </c>
      <c r="I32" s="20" t="s">
        <v>1753</v>
      </c>
      <c r="J32" s="20" t="s">
        <v>132</v>
      </c>
      <c r="K32" s="20" t="s">
        <v>330</v>
      </c>
      <c r="L32" s="23" t="str">
        <f>HYPERLINK("http://images.bloomingdales.com/is/image/BLM/10698369 ")</f>
        <v xml:space="preserve">http://images.bloomingdales.com/is/image/BLM/10698369 </v>
      </c>
    </row>
    <row r="33" spans="1:12" ht="39.950000000000003" customHeight="1" x14ac:dyDescent="0.25">
      <c r="A33" s="19" t="s">
        <v>1754</v>
      </c>
      <c r="B33" s="20" t="s">
        <v>1755</v>
      </c>
      <c r="C33" s="21">
        <v>1</v>
      </c>
      <c r="D33" s="22">
        <v>16.989999999999998</v>
      </c>
      <c r="E33" s="21" t="s">
        <v>1756</v>
      </c>
      <c r="F33" s="20" t="s">
        <v>604</v>
      </c>
      <c r="G33" s="19"/>
      <c r="H33" s="20" t="s">
        <v>718</v>
      </c>
      <c r="I33" s="20" t="s">
        <v>1624</v>
      </c>
      <c r="J33" s="20" t="s">
        <v>20</v>
      </c>
      <c r="K33" s="20" t="s">
        <v>396</v>
      </c>
      <c r="L33" s="23" t="str">
        <f>HYPERLINK("http://slimages.macys.com/is/image/MCY/3153811 ")</f>
        <v xml:space="preserve">http://slimages.macys.com/is/image/MCY/3153811 </v>
      </c>
    </row>
    <row r="34" spans="1:12" ht="39.950000000000003" customHeight="1" x14ac:dyDescent="0.25">
      <c r="A34" s="19" t="s">
        <v>1757</v>
      </c>
      <c r="B34" s="20" t="s">
        <v>1758</v>
      </c>
      <c r="C34" s="21">
        <v>1</v>
      </c>
      <c r="D34" s="22">
        <v>19.989999999999998</v>
      </c>
      <c r="E34" s="21" t="s">
        <v>1759</v>
      </c>
      <c r="F34" s="20" t="s">
        <v>106</v>
      </c>
      <c r="G34" s="19" t="s">
        <v>1760</v>
      </c>
      <c r="H34" s="20" t="s">
        <v>916</v>
      </c>
      <c r="I34" s="20" t="s">
        <v>917</v>
      </c>
      <c r="J34" s="20" t="s">
        <v>20</v>
      </c>
      <c r="K34" s="20" t="s">
        <v>798</v>
      </c>
      <c r="L34" s="23" t="str">
        <f>HYPERLINK("http://slimages.macys.com/is/image/MCY/3402982 ")</f>
        <v xml:space="preserve">http://slimages.macys.com/is/image/MCY/3402982 </v>
      </c>
    </row>
    <row r="35" spans="1:12" ht="39.950000000000003" customHeight="1" x14ac:dyDescent="0.25">
      <c r="A35" s="19" t="s">
        <v>991</v>
      </c>
      <c r="B35" s="20" t="s">
        <v>992</v>
      </c>
      <c r="C35" s="21">
        <v>2</v>
      </c>
      <c r="D35" s="22">
        <v>33.979999999999997</v>
      </c>
      <c r="E35" s="21" t="s">
        <v>993</v>
      </c>
      <c r="F35" s="20" t="s">
        <v>89</v>
      </c>
      <c r="G35" s="19" t="s">
        <v>954</v>
      </c>
      <c r="H35" s="20" t="s">
        <v>916</v>
      </c>
      <c r="I35" s="20" t="s">
        <v>917</v>
      </c>
      <c r="J35" s="20" t="s">
        <v>20</v>
      </c>
      <c r="K35" s="20" t="s">
        <v>798</v>
      </c>
      <c r="L35" s="23" t="str">
        <f>HYPERLINK("http://slimages.macys.com/is/image/MCY/12737864 ")</f>
        <v xml:space="preserve">http://slimages.macys.com/is/image/MCY/12737864 </v>
      </c>
    </row>
    <row r="36" spans="1:12" ht="39.950000000000003" customHeight="1" x14ac:dyDescent="0.25">
      <c r="A36" s="19" t="s">
        <v>1761</v>
      </c>
      <c r="B36" s="20" t="s">
        <v>1762</v>
      </c>
      <c r="C36" s="21">
        <v>1</v>
      </c>
      <c r="D36" s="22">
        <v>39.99</v>
      </c>
      <c r="E36" s="21" t="s">
        <v>1763</v>
      </c>
      <c r="F36" s="20" t="s">
        <v>206</v>
      </c>
      <c r="G36" s="19"/>
      <c r="H36" s="20" t="s">
        <v>772</v>
      </c>
      <c r="I36" s="20" t="s">
        <v>773</v>
      </c>
      <c r="J36" s="20" t="s">
        <v>20</v>
      </c>
      <c r="K36" s="20"/>
      <c r="L36" s="23" t="str">
        <f>HYPERLINK("http://slimages.macys.com/is/image/MCY/8433239 ")</f>
        <v xml:space="preserve">http://slimages.macys.com/is/image/MCY/8433239 </v>
      </c>
    </row>
    <row r="37" spans="1:12" ht="39.950000000000003" customHeight="1" x14ac:dyDescent="0.25">
      <c r="A37" s="19" t="s">
        <v>1764</v>
      </c>
      <c r="B37" s="20" t="s">
        <v>1765</v>
      </c>
      <c r="C37" s="21">
        <v>1</v>
      </c>
      <c r="D37" s="22">
        <v>14.99</v>
      </c>
      <c r="E37" s="21" t="s">
        <v>1766</v>
      </c>
      <c r="F37" s="20" t="s">
        <v>1036</v>
      </c>
      <c r="G37" s="19" t="s">
        <v>954</v>
      </c>
      <c r="H37" s="20" t="s">
        <v>916</v>
      </c>
      <c r="I37" s="20" t="s">
        <v>1561</v>
      </c>
      <c r="J37" s="20" t="s">
        <v>20</v>
      </c>
      <c r="K37" s="20" t="s">
        <v>341</v>
      </c>
      <c r="L37" s="23" t="str">
        <f>HYPERLINK("http://slimages.macys.com/is/image/MCY/11946722 ")</f>
        <v xml:space="preserve">http://slimages.macys.com/is/image/MCY/11946722 </v>
      </c>
    </row>
    <row r="38" spans="1:12" ht="39.950000000000003" customHeight="1" x14ac:dyDescent="0.25">
      <c r="A38" s="19" t="s">
        <v>1767</v>
      </c>
      <c r="B38" s="20" t="s">
        <v>1768</v>
      </c>
      <c r="C38" s="21">
        <v>1</v>
      </c>
      <c r="D38" s="22">
        <v>14.99</v>
      </c>
      <c r="E38" s="21" t="s">
        <v>1766</v>
      </c>
      <c r="F38" s="20" t="s">
        <v>1036</v>
      </c>
      <c r="G38" s="19" t="s">
        <v>954</v>
      </c>
      <c r="H38" s="20" t="s">
        <v>916</v>
      </c>
      <c r="I38" s="20" t="s">
        <v>1561</v>
      </c>
      <c r="J38" s="20" t="s">
        <v>20</v>
      </c>
      <c r="K38" s="20" t="s">
        <v>341</v>
      </c>
      <c r="L38" s="23" t="str">
        <f>HYPERLINK("http://slimages.macys.com/is/image/MCY/11946722 ")</f>
        <v xml:space="preserve">http://slimages.macys.com/is/image/MCY/11946722 </v>
      </c>
    </row>
    <row r="39" spans="1:12" ht="39.950000000000003" customHeight="1" x14ac:dyDescent="0.25">
      <c r="A39" s="19" t="s">
        <v>1769</v>
      </c>
      <c r="B39" s="20" t="s">
        <v>1770</v>
      </c>
      <c r="C39" s="21">
        <v>1</v>
      </c>
      <c r="D39" s="22">
        <v>7.99</v>
      </c>
      <c r="E39" s="21" t="s">
        <v>1771</v>
      </c>
      <c r="F39" s="20" t="s">
        <v>1772</v>
      </c>
      <c r="G39" s="19" t="s">
        <v>954</v>
      </c>
      <c r="H39" s="20" t="s">
        <v>940</v>
      </c>
      <c r="I39" s="20" t="s">
        <v>1166</v>
      </c>
      <c r="J39" s="20"/>
      <c r="K39" s="20"/>
      <c r="L39" s="23" t="str">
        <f>HYPERLINK("http://slimages.macys.com/is/image/MCY/17492917 ")</f>
        <v xml:space="preserve">http://slimages.macys.com/is/image/MCY/17492917 </v>
      </c>
    </row>
    <row r="40" spans="1:12" ht="39.950000000000003" customHeight="1" x14ac:dyDescent="0.25">
      <c r="A40" s="19" t="s">
        <v>1773</v>
      </c>
      <c r="B40" s="20" t="s">
        <v>1774</v>
      </c>
      <c r="C40" s="21">
        <v>1</v>
      </c>
      <c r="D40" s="22">
        <v>7.99</v>
      </c>
      <c r="E40" s="21" t="s">
        <v>1775</v>
      </c>
      <c r="F40" s="20" t="s">
        <v>89</v>
      </c>
      <c r="G40" s="19" t="s">
        <v>954</v>
      </c>
      <c r="H40" s="20" t="s">
        <v>940</v>
      </c>
      <c r="I40" s="20" t="s">
        <v>1776</v>
      </c>
      <c r="J40" s="20"/>
      <c r="K40" s="20"/>
      <c r="L40" s="23" t="str">
        <f>HYPERLINK("http://slimages.macys.com/is/image/MCY/16783459 ")</f>
        <v xml:space="preserve">http://slimages.macys.com/is/image/MCY/16783459 </v>
      </c>
    </row>
    <row r="41" spans="1:12" ht="39.950000000000003" customHeight="1" x14ac:dyDescent="0.25">
      <c r="A41" s="19" t="s">
        <v>1777</v>
      </c>
      <c r="B41" s="20" t="s">
        <v>1778</v>
      </c>
      <c r="C41" s="21">
        <v>2</v>
      </c>
      <c r="D41" s="22">
        <v>25.98</v>
      </c>
      <c r="E41" s="21" t="s">
        <v>1779</v>
      </c>
      <c r="F41" s="20" t="s">
        <v>89</v>
      </c>
      <c r="G41" s="19" t="s">
        <v>1012</v>
      </c>
      <c r="H41" s="20" t="s">
        <v>916</v>
      </c>
      <c r="I41" s="20" t="s">
        <v>917</v>
      </c>
      <c r="J41" s="20" t="s">
        <v>20</v>
      </c>
      <c r="K41" s="20" t="s">
        <v>798</v>
      </c>
      <c r="L41" s="23" t="str">
        <f>HYPERLINK("http://slimages.macys.com/is/image/MCY/12737814 ")</f>
        <v xml:space="preserve">http://slimages.macys.com/is/image/MCY/12737814 </v>
      </c>
    </row>
    <row r="42" spans="1:12" ht="39.950000000000003" customHeight="1" x14ac:dyDescent="0.25">
      <c r="A42" s="19" t="s">
        <v>1780</v>
      </c>
      <c r="B42" s="20" t="s">
        <v>1781</v>
      </c>
      <c r="C42" s="21">
        <v>1</v>
      </c>
      <c r="D42" s="22">
        <v>7.99</v>
      </c>
      <c r="E42" s="21" t="s">
        <v>1782</v>
      </c>
      <c r="F42" s="20" t="s">
        <v>106</v>
      </c>
      <c r="G42" s="19" t="s">
        <v>1179</v>
      </c>
      <c r="H42" s="20" t="s">
        <v>916</v>
      </c>
      <c r="I42" s="20" t="s">
        <v>917</v>
      </c>
      <c r="J42" s="20" t="s">
        <v>20</v>
      </c>
      <c r="K42" s="20" t="s">
        <v>798</v>
      </c>
      <c r="L42" s="23" t="str">
        <f>HYPERLINK("http://slimages.macys.com/is/image/MCY/12737732 ")</f>
        <v xml:space="preserve">http://slimages.macys.com/is/image/MCY/12737732 </v>
      </c>
    </row>
    <row r="43" spans="1:12" ht="39.950000000000003" customHeight="1" x14ac:dyDescent="0.25">
      <c r="A43" s="19" t="s">
        <v>1783</v>
      </c>
      <c r="B43" s="20" t="s">
        <v>1784</v>
      </c>
      <c r="C43" s="21">
        <v>1</v>
      </c>
      <c r="D43" s="22">
        <v>59.99</v>
      </c>
      <c r="E43" s="21" t="s">
        <v>1785</v>
      </c>
      <c r="F43" s="20" t="s">
        <v>755</v>
      </c>
      <c r="G43" s="19"/>
      <c r="H43" s="20" t="s">
        <v>718</v>
      </c>
      <c r="I43" s="20" t="s">
        <v>806</v>
      </c>
      <c r="J43" s="20"/>
      <c r="K43" s="20"/>
      <c r="L43" s="23"/>
    </row>
    <row r="44" spans="1:12" ht="39.950000000000003" customHeight="1" x14ac:dyDescent="0.25">
      <c r="A44" s="19" t="s">
        <v>1019</v>
      </c>
      <c r="B44" s="20" t="s">
        <v>694</v>
      </c>
      <c r="C44" s="21">
        <v>9</v>
      </c>
      <c r="D44" s="22">
        <v>360</v>
      </c>
      <c r="E44" s="21"/>
      <c r="F44" s="20" t="s">
        <v>16</v>
      </c>
      <c r="G44" s="19" t="s">
        <v>17</v>
      </c>
      <c r="H44" s="20" t="s">
        <v>695</v>
      </c>
      <c r="I44" s="20" t="s">
        <v>696</v>
      </c>
      <c r="J44" s="20"/>
      <c r="K44" s="20"/>
      <c r="L44" s="23"/>
    </row>
    <row r="45" spans="1:12" ht="39.950000000000003" customHeight="1" x14ac:dyDescent="0.25">
      <c r="A45" s="13"/>
      <c r="B45" s="14"/>
      <c r="C45" s="15"/>
      <c r="D45" s="16"/>
      <c r="E45" s="15"/>
      <c r="F45" s="14"/>
      <c r="G45" s="13"/>
      <c r="H45" s="14"/>
      <c r="I45" s="14"/>
      <c r="J45" s="14"/>
      <c r="K45" s="14"/>
      <c r="L45" s="17"/>
    </row>
    <row r="46" spans="1:12" ht="39.950000000000003" customHeight="1" x14ac:dyDescent="0.25">
      <c r="A46" s="13"/>
      <c r="B46" s="14"/>
      <c r="C46" s="15"/>
      <c r="D46" s="16"/>
      <c r="E46" s="15"/>
      <c r="F46" s="14"/>
      <c r="G46" s="13"/>
      <c r="H46" s="14"/>
      <c r="I46" s="14"/>
      <c r="J46" s="14"/>
      <c r="K46" s="14"/>
      <c r="L46" s="17"/>
    </row>
    <row r="47" spans="1:12" ht="39.950000000000003" customHeight="1" x14ac:dyDescent="0.25">
      <c r="A47" s="13"/>
      <c r="B47" s="14"/>
      <c r="C47" s="15"/>
      <c r="D47" s="16"/>
      <c r="E47" s="15"/>
      <c r="F47" s="14"/>
      <c r="G47" s="13"/>
      <c r="H47" s="14"/>
      <c r="I47" s="14"/>
      <c r="J47" s="14"/>
      <c r="K47" s="14"/>
      <c r="L47" s="17"/>
    </row>
    <row r="48" spans="1:12" ht="39.950000000000003" customHeight="1" x14ac:dyDescent="0.25">
      <c r="A48" s="13"/>
      <c r="B48" s="14"/>
      <c r="C48" s="15"/>
      <c r="D48" s="16"/>
      <c r="E48" s="15"/>
      <c r="F48" s="14"/>
      <c r="G48" s="13"/>
      <c r="H48" s="14"/>
      <c r="I48" s="14"/>
      <c r="J48" s="14"/>
      <c r="K48" s="14"/>
      <c r="L48" s="17"/>
    </row>
    <row r="49" spans="1:12" ht="39.950000000000003" customHeight="1" x14ac:dyDescent="0.25">
      <c r="A49" s="13"/>
      <c r="B49" s="14"/>
      <c r="C49" s="15"/>
      <c r="D49" s="16"/>
      <c r="E49" s="15"/>
      <c r="F49" s="14"/>
      <c r="G49" s="13"/>
      <c r="H49" s="14"/>
      <c r="I49" s="14"/>
      <c r="J49" s="14"/>
      <c r="K49" s="14"/>
      <c r="L49" s="17"/>
    </row>
    <row r="50" spans="1:12" ht="39.950000000000003" customHeight="1" x14ac:dyDescent="0.25">
      <c r="A50" s="13"/>
      <c r="B50" s="14"/>
      <c r="C50" s="15"/>
      <c r="D50" s="16"/>
      <c r="E50" s="15"/>
      <c r="F50" s="14"/>
      <c r="G50" s="13"/>
      <c r="H50" s="14"/>
      <c r="I50" s="14"/>
      <c r="J50" s="14"/>
      <c r="K50" s="14"/>
      <c r="L50" s="17"/>
    </row>
    <row r="51" spans="1:12" ht="39.950000000000003" customHeight="1" x14ac:dyDescent="0.25">
      <c r="A51" s="13"/>
      <c r="B51" s="14"/>
      <c r="C51" s="15"/>
      <c r="D51" s="16"/>
      <c r="E51" s="15"/>
      <c r="F51" s="14"/>
      <c r="G51" s="13"/>
      <c r="H51" s="14"/>
      <c r="I51" s="14"/>
      <c r="J51" s="14"/>
      <c r="K51" s="14"/>
      <c r="L51" s="17"/>
    </row>
    <row r="52" spans="1:12" ht="39.950000000000003" customHeight="1" x14ac:dyDescent="0.25">
      <c r="A52" s="13"/>
      <c r="B52" s="14"/>
      <c r="C52" s="15"/>
      <c r="D52" s="16"/>
      <c r="E52" s="15"/>
      <c r="F52" s="14"/>
      <c r="G52" s="13"/>
      <c r="H52" s="14"/>
      <c r="I52" s="14"/>
      <c r="J52" s="14"/>
      <c r="K52" s="14"/>
      <c r="L52" s="17"/>
    </row>
    <row r="53" spans="1:12" ht="39.950000000000003" customHeight="1" x14ac:dyDescent="0.25">
      <c r="A53" s="13"/>
      <c r="B53" s="14"/>
      <c r="C53" s="15"/>
      <c r="D53" s="16"/>
      <c r="E53" s="15"/>
      <c r="F53" s="14"/>
      <c r="G53" s="13"/>
      <c r="H53" s="14"/>
      <c r="I53" s="14"/>
      <c r="J53" s="14"/>
      <c r="K53" s="14"/>
      <c r="L53" s="17"/>
    </row>
    <row r="54" spans="1:12" ht="39.950000000000003" customHeight="1" x14ac:dyDescent="0.25">
      <c r="A54" s="13"/>
      <c r="B54" s="14"/>
      <c r="C54" s="15"/>
      <c r="D54" s="16"/>
      <c r="E54" s="15"/>
      <c r="F54" s="14"/>
      <c r="G54" s="13"/>
      <c r="H54" s="14"/>
      <c r="I54" s="14"/>
      <c r="J54" s="14"/>
      <c r="K54" s="14"/>
      <c r="L54" s="17"/>
    </row>
    <row r="55" spans="1:12" ht="39.950000000000003" customHeight="1" x14ac:dyDescent="0.25">
      <c r="A55" s="13"/>
      <c r="B55" s="14"/>
      <c r="C55" s="15"/>
      <c r="D55" s="16"/>
      <c r="E55" s="15"/>
      <c r="F55" s="14"/>
      <c r="G55" s="13"/>
      <c r="H55" s="14"/>
      <c r="I55" s="14"/>
      <c r="J55" s="14"/>
      <c r="K55" s="14"/>
      <c r="L55" s="17"/>
    </row>
    <row r="56" spans="1:12" ht="39.950000000000003" customHeight="1" x14ac:dyDescent="0.25">
      <c r="A56" s="13"/>
      <c r="B56" s="14"/>
      <c r="C56" s="15"/>
      <c r="D56" s="16"/>
      <c r="E56" s="15"/>
      <c r="F56" s="14"/>
      <c r="G56" s="13"/>
      <c r="H56" s="14"/>
      <c r="I56" s="14"/>
      <c r="J56" s="14"/>
      <c r="K56" s="14"/>
      <c r="L56" s="17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6"/>
  <sheetViews>
    <sheetView workbookViewId="0">
      <selection activeCell="L7" sqref="L7"/>
    </sheetView>
  </sheetViews>
  <sheetFormatPr defaultRowHeight="39.950000000000003" customHeight="1" x14ac:dyDescent="0.25"/>
  <cols>
    <col min="1" max="1" width="13.140625" style="24" bestFit="1" customWidth="1"/>
    <col min="2" max="2" width="24.42578125" style="24" bestFit="1" customWidth="1"/>
    <col min="3" max="3" width="12.42578125" style="24" bestFit="1" customWidth="1"/>
    <col min="4" max="4" width="8.7109375" style="24" bestFit="1" customWidth="1"/>
    <col min="5" max="5" width="16.85546875" style="24" bestFit="1" customWidth="1"/>
    <col min="6" max="6" width="11.42578125" style="24" customWidth="1"/>
    <col min="7" max="7" width="10.140625" style="24" bestFit="1" customWidth="1"/>
    <col min="8" max="8" width="12.140625" style="24" customWidth="1"/>
    <col min="9" max="9" width="31.85546875" style="24" bestFit="1" customWidth="1"/>
    <col min="10" max="11" width="17.7109375" style="24" bestFit="1" customWidth="1"/>
    <col min="12" max="12" width="27.140625" style="24" customWidth="1"/>
    <col min="13" max="16384" width="9.140625" style="24"/>
  </cols>
  <sheetData>
    <row r="1" spans="1:12" ht="39.950000000000003" customHeight="1" x14ac:dyDescent="0.25">
      <c r="A1" s="18" t="s">
        <v>2</v>
      </c>
      <c r="B1" s="18" t="s">
        <v>3</v>
      </c>
      <c r="C1" s="18" t="s">
        <v>4</v>
      </c>
      <c r="D1" s="18" t="s">
        <v>5</v>
      </c>
      <c r="E1" s="18" t="s">
        <v>6</v>
      </c>
      <c r="F1" s="18" t="s">
        <v>7</v>
      </c>
      <c r="G1" s="18" t="s">
        <v>8</v>
      </c>
      <c r="H1" s="18" t="s">
        <v>9</v>
      </c>
      <c r="I1" s="18" t="s">
        <v>10</v>
      </c>
      <c r="J1" s="18" t="s">
        <v>11</v>
      </c>
      <c r="K1" s="18" t="s">
        <v>12</v>
      </c>
      <c r="L1" s="18" t="s">
        <v>13</v>
      </c>
    </row>
    <row r="2" spans="1:12" ht="39.950000000000003" customHeight="1" x14ac:dyDescent="0.25">
      <c r="A2" s="19" t="s">
        <v>1786</v>
      </c>
      <c r="B2" s="20" t="s">
        <v>1787</v>
      </c>
      <c r="C2" s="21">
        <v>1</v>
      </c>
      <c r="D2" s="22">
        <v>379.99</v>
      </c>
      <c r="E2" s="21" t="s">
        <v>1788</v>
      </c>
      <c r="F2" s="20" t="s">
        <v>1121</v>
      </c>
      <c r="G2" s="19"/>
      <c r="H2" s="20" t="s">
        <v>831</v>
      </c>
      <c r="I2" s="20" t="s">
        <v>832</v>
      </c>
      <c r="J2" s="20" t="s">
        <v>20</v>
      </c>
      <c r="K2" s="20" t="s">
        <v>936</v>
      </c>
      <c r="L2" s="23" t="str">
        <f>HYPERLINK("http://slimages.macys.com/is/image/MCY/13038835 ")</f>
        <v xml:space="preserve">http://slimages.macys.com/is/image/MCY/13038835 </v>
      </c>
    </row>
    <row r="3" spans="1:12" ht="39.950000000000003" customHeight="1" x14ac:dyDescent="0.25">
      <c r="A3" s="19" t="s">
        <v>1789</v>
      </c>
      <c r="B3" s="20" t="s">
        <v>1790</v>
      </c>
      <c r="C3" s="21">
        <v>1</v>
      </c>
      <c r="D3" s="22">
        <v>349.99</v>
      </c>
      <c r="E3" s="21" t="s">
        <v>1791</v>
      </c>
      <c r="F3" s="20" t="s">
        <v>674</v>
      </c>
      <c r="G3" s="19"/>
      <c r="H3" s="20" t="s">
        <v>831</v>
      </c>
      <c r="I3" s="20" t="s">
        <v>832</v>
      </c>
      <c r="J3" s="20" t="s">
        <v>20</v>
      </c>
      <c r="K3" s="20" t="s">
        <v>936</v>
      </c>
      <c r="L3" s="23" t="str">
        <f>HYPERLINK("http://slimages.macys.com/is/image/MCY/11510093 ")</f>
        <v xml:space="preserve">http://slimages.macys.com/is/image/MCY/11510093 </v>
      </c>
    </row>
    <row r="4" spans="1:12" ht="39.950000000000003" customHeight="1" x14ac:dyDescent="0.25">
      <c r="A4" s="19" t="s">
        <v>1792</v>
      </c>
      <c r="B4" s="20" t="s">
        <v>1793</v>
      </c>
      <c r="C4" s="21">
        <v>1</v>
      </c>
      <c r="D4" s="22">
        <v>239.99</v>
      </c>
      <c r="E4" s="21" t="s">
        <v>1794</v>
      </c>
      <c r="F4" s="20" t="s">
        <v>89</v>
      </c>
      <c r="G4" s="19"/>
      <c r="H4" s="20" t="s">
        <v>718</v>
      </c>
      <c r="I4" s="20" t="s">
        <v>1795</v>
      </c>
      <c r="J4" s="20" t="s">
        <v>20</v>
      </c>
      <c r="K4" s="20" t="s">
        <v>1796</v>
      </c>
      <c r="L4" s="23" t="str">
        <f>HYPERLINK("http://slimages.macys.com/is/image/MCY/16379246 ")</f>
        <v xml:space="preserve">http://slimages.macys.com/is/image/MCY/16379246 </v>
      </c>
    </row>
    <row r="5" spans="1:12" ht="39.950000000000003" customHeight="1" x14ac:dyDescent="0.25">
      <c r="A5" s="19" t="s">
        <v>1797</v>
      </c>
      <c r="B5" s="20" t="s">
        <v>1798</v>
      </c>
      <c r="C5" s="21">
        <v>1</v>
      </c>
      <c r="D5" s="22">
        <v>179.99</v>
      </c>
      <c r="E5" s="21">
        <v>82222</v>
      </c>
      <c r="F5" s="20" t="s">
        <v>394</v>
      </c>
      <c r="G5" s="19"/>
      <c r="H5" s="20" t="s">
        <v>712</v>
      </c>
      <c r="I5" s="20" t="s">
        <v>1058</v>
      </c>
      <c r="J5" s="20"/>
      <c r="K5" s="20"/>
      <c r="L5" s="23" t="str">
        <f>HYPERLINK("http://slimages.macys.com/is/image/MCY/17257930 ")</f>
        <v xml:space="preserve">http://slimages.macys.com/is/image/MCY/17257930 </v>
      </c>
    </row>
    <row r="6" spans="1:12" ht="39.950000000000003" customHeight="1" x14ac:dyDescent="0.25">
      <c r="A6" s="19" t="s">
        <v>1799</v>
      </c>
      <c r="B6" s="20" t="s">
        <v>1800</v>
      </c>
      <c r="C6" s="21">
        <v>1</v>
      </c>
      <c r="D6" s="22">
        <v>137</v>
      </c>
      <c r="E6" s="21" t="s">
        <v>1801</v>
      </c>
      <c r="F6" s="20" t="s">
        <v>576</v>
      </c>
      <c r="G6" s="19"/>
      <c r="H6" s="20" t="s">
        <v>745</v>
      </c>
      <c r="I6" s="20" t="s">
        <v>926</v>
      </c>
      <c r="J6" s="20" t="s">
        <v>20</v>
      </c>
      <c r="K6" s="20" t="s">
        <v>798</v>
      </c>
      <c r="L6" s="23" t="str">
        <f>HYPERLINK("http://slimages.macys.com/is/image/MCY/11704383 ")</f>
        <v xml:space="preserve">http://slimages.macys.com/is/image/MCY/11704383 </v>
      </c>
    </row>
    <row r="7" spans="1:12" ht="39.950000000000003" customHeight="1" x14ac:dyDescent="0.25">
      <c r="A7" s="19" t="s">
        <v>1802</v>
      </c>
      <c r="B7" s="20" t="s">
        <v>1803</v>
      </c>
      <c r="C7" s="21">
        <v>1</v>
      </c>
      <c r="D7" s="22">
        <v>139.99</v>
      </c>
      <c r="E7" s="21">
        <v>13863</v>
      </c>
      <c r="F7" s="20" t="s">
        <v>89</v>
      </c>
      <c r="G7" s="19" t="s">
        <v>1804</v>
      </c>
      <c r="H7" s="20" t="s">
        <v>1644</v>
      </c>
      <c r="I7" s="20" t="s">
        <v>1805</v>
      </c>
      <c r="J7" s="20"/>
      <c r="K7" s="20"/>
      <c r="L7" s="23" t="str">
        <f>HYPERLINK("http://slimages.macys.com/is/image/MCY/17673731 ")</f>
        <v xml:space="preserve">http://slimages.macys.com/is/image/MCY/17673731 </v>
      </c>
    </row>
    <row r="8" spans="1:12" ht="39.950000000000003" customHeight="1" x14ac:dyDescent="0.25">
      <c r="A8" s="19" t="s">
        <v>1806</v>
      </c>
      <c r="B8" s="20" t="s">
        <v>1807</v>
      </c>
      <c r="C8" s="21">
        <v>1</v>
      </c>
      <c r="D8" s="22">
        <v>96.99</v>
      </c>
      <c r="E8" s="21" t="s">
        <v>1808</v>
      </c>
      <c r="F8" s="20" t="s">
        <v>89</v>
      </c>
      <c r="G8" s="19"/>
      <c r="H8" s="20" t="s">
        <v>940</v>
      </c>
      <c r="I8" s="20" t="s">
        <v>1705</v>
      </c>
      <c r="J8" s="20"/>
      <c r="K8" s="20"/>
      <c r="L8" s="23" t="str">
        <f>HYPERLINK("http://slimages.macys.com/is/image/MCY/17090267 ")</f>
        <v xml:space="preserve">http://slimages.macys.com/is/image/MCY/17090267 </v>
      </c>
    </row>
    <row r="9" spans="1:12" ht="39.950000000000003" customHeight="1" x14ac:dyDescent="0.25">
      <c r="A9" s="19" t="s">
        <v>1809</v>
      </c>
      <c r="B9" s="20" t="s">
        <v>1810</v>
      </c>
      <c r="C9" s="21">
        <v>1</v>
      </c>
      <c r="D9" s="22">
        <v>99.99</v>
      </c>
      <c r="E9" s="21" t="s">
        <v>1811</v>
      </c>
      <c r="F9" s="20" t="s">
        <v>555</v>
      </c>
      <c r="G9" s="19"/>
      <c r="H9" s="20" t="s">
        <v>734</v>
      </c>
      <c r="I9" s="20" t="s">
        <v>1564</v>
      </c>
      <c r="J9" s="20" t="s">
        <v>20</v>
      </c>
      <c r="K9" s="20" t="s">
        <v>798</v>
      </c>
      <c r="L9" s="23" t="str">
        <f>HYPERLINK("http://slimages.macys.com/is/image/MCY/10312706 ")</f>
        <v xml:space="preserve">http://slimages.macys.com/is/image/MCY/10312706 </v>
      </c>
    </row>
    <row r="10" spans="1:12" ht="39.950000000000003" customHeight="1" x14ac:dyDescent="0.25">
      <c r="A10" s="19" t="s">
        <v>1812</v>
      </c>
      <c r="B10" s="20" t="s">
        <v>1813</v>
      </c>
      <c r="C10" s="21">
        <v>1</v>
      </c>
      <c r="D10" s="22">
        <v>97.49</v>
      </c>
      <c r="E10" s="21" t="s">
        <v>1814</v>
      </c>
      <c r="F10" s="20" t="s">
        <v>555</v>
      </c>
      <c r="G10" s="19"/>
      <c r="H10" s="20" t="s">
        <v>712</v>
      </c>
      <c r="I10" s="20" t="s">
        <v>1815</v>
      </c>
      <c r="J10" s="20"/>
      <c r="K10" s="20"/>
      <c r="L10" s="23" t="str">
        <f>HYPERLINK("http://slimages.macys.com/is/image/MCY/17807678 ")</f>
        <v xml:space="preserve">http://slimages.macys.com/is/image/MCY/17807678 </v>
      </c>
    </row>
    <row r="11" spans="1:12" ht="39.950000000000003" customHeight="1" x14ac:dyDescent="0.25">
      <c r="A11" s="19" t="s">
        <v>1816</v>
      </c>
      <c r="B11" s="20" t="s">
        <v>1817</v>
      </c>
      <c r="C11" s="21">
        <v>1</v>
      </c>
      <c r="D11" s="22">
        <v>79.989999999999995</v>
      </c>
      <c r="E11" s="21" t="s">
        <v>1818</v>
      </c>
      <c r="F11" s="20" t="s">
        <v>685</v>
      </c>
      <c r="G11" s="19"/>
      <c r="H11" s="20" t="s">
        <v>734</v>
      </c>
      <c r="I11" s="20" t="s">
        <v>1564</v>
      </c>
      <c r="J11" s="20"/>
      <c r="K11" s="20"/>
      <c r="L11" s="23" t="str">
        <f>HYPERLINK("http://slimages.macys.com/is/image/MCY/17407215 ")</f>
        <v xml:space="preserve">http://slimages.macys.com/is/image/MCY/17407215 </v>
      </c>
    </row>
    <row r="12" spans="1:12" ht="39.950000000000003" customHeight="1" x14ac:dyDescent="0.25">
      <c r="A12" s="19" t="s">
        <v>1819</v>
      </c>
      <c r="B12" s="20" t="s">
        <v>1820</v>
      </c>
      <c r="C12" s="21">
        <v>1</v>
      </c>
      <c r="D12" s="22">
        <v>48.99</v>
      </c>
      <c r="E12" s="21" t="s">
        <v>1821</v>
      </c>
      <c r="F12" s="20" t="s">
        <v>576</v>
      </c>
      <c r="G12" s="19"/>
      <c r="H12" s="20" t="s">
        <v>718</v>
      </c>
      <c r="I12" s="20" t="s">
        <v>856</v>
      </c>
      <c r="J12" s="20" t="s">
        <v>20</v>
      </c>
      <c r="K12" s="20" t="s">
        <v>1822</v>
      </c>
      <c r="L12" s="23" t="str">
        <f>HYPERLINK("http://slimages.macys.com/is/image/MCY/10797926 ")</f>
        <v xml:space="preserve">http://slimages.macys.com/is/image/MCY/10797926 </v>
      </c>
    </row>
    <row r="13" spans="1:12" ht="39.950000000000003" customHeight="1" x14ac:dyDescent="0.25">
      <c r="A13" s="19" t="s">
        <v>1823</v>
      </c>
      <c r="B13" s="20" t="s">
        <v>1824</v>
      </c>
      <c r="C13" s="21">
        <v>1</v>
      </c>
      <c r="D13" s="22">
        <v>79.989999999999995</v>
      </c>
      <c r="E13" s="21" t="s">
        <v>1825</v>
      </c>
      <c r="F13" s="20" t="s">
        <v>759</v>
      </c>
      <c r="G13" s="19"/>
      <c r="H13" s="20" t="s">
        <v>772</v>
      </c>
      <c r="I13" s="20" t="s">
        <v>773</v>
      </c>
      <c r="J13" s="20" t="s">
        <v>20</v>
      </c>
      <c r="K13" s="20" t="s">
        <v>330</v>
      </c>
      <c r="L13" s="23" t="str">
        <f>HYPERLINK("http://slimages.macys.com/is/image/MCY/8491178 ")</f>
        <v xml:space="preserve">http://slimages.macys.com/is/image/MCY/8491178 </v>
      </c>
    </row>
    <row r="14" spans="1:12" ht="39.950000000000003" customHeight="1" x14ac:dyDescent="0.25">
      <c r="A14" s="19" t="s">
        <v>1826</v>
      </c>
      <c r="B14" s="20" t="s">
        <v>1827</v>
      </c>
      <c r="C14" s="21">
        <v>11</v>
      </c>
      <c r="D14" s="22">
        <v>494.89</v>
      </c>
      <c r="E14" s="21" t="s">
        <v>1828</v>
      </c>
      <c r="F14" s="20" t="s">
        <v>483</v>
      </c>
      <c r="G14" s="19"/>
      <c r="H14" s="20" t="s">
        <v>718</v>
      </c>
      <c r="I14" s="20" t="s">
        <v>910</v>
      </c>
      <c r="J14" s="20" t="s">
        <v>20</v>
      </c>
      <c r="K14" s="20" t="s">
        <v>396</v>
      </c>
      <c r="L14" s="23" t="str">
        <f>HYPERLINK("http://slimages.macys.com/is/image/MCY/8993132 ")</f>
        <v xml:space="preserve">http://slimages.macys.com/is/image/MCY/8993132 </v>
      </c>
    </row>
    <row r="15" spans="1:12" ht="39.950000000000003" customHeight="1" x14ac:dyDescent="0.25">
      <c r="A15" s="19" t="s">
        <v>1829</v>
      </c>
      <c r="B15" s="20" t="s">
        <v>1830</v>
      </c>
      <c r="C15" s="21">
        <v>1</v>
      </c>
      <c r="D15" s="22">
        <v>49.99</v>
      </c>
      <c r="E15" s="21" t="s">
        <v>1831</v>
      </c>
      <c r="F15" s="20" t="s">
        <v>1260</v>
      </c>
      <c r="G15" s="19"/>
      <c r="H15" s="20" t="s">
        <v>718</v>
      </c>
      <c r="I15" s="20" t="s">
        <v>806</v>
      </c>
      <c r="J15" s="20"/>
      <c r="K15" s="20"/>
      <c r="L15" s="23" t="str">
        <f>HYPERLINK("http://slimages.macys.com/is/image/MCY/17968749 ")</f>
        <v xml:space="preserve">http://slimages.macys.com/is/image/MCY/17968749 </v>
      </c>
    </row>
    <row r="16" spans="1:12" ht="39.950000000000003" customHeight="1" x14ac:dyDescent="0.25">
      <c r="A16" s="19" t="s">
        <v>1832</v>
      </c>
      <c r="B16" s="20" t="s">
        <v>1833</v>
      </c>
      <c r="C16" s="21">
        <v>1</v>
      </c>
      <c r="D16" s="22">
        <v>39.99</v>
      </c>
      <c r="E16" s="21" t="s">
        <v>1834</v>
      </c>
      <c r="F16" s="20" t="s">
        <v>394</v>
      </c>
      <c r="G16" s="19"/>
      <c r="H16" s="20" t="s">
        <v>712</v>
      </c>
      <c r="I16" s="20" t="s">
        <v>1835</v>
      </c>
      <c r="J16" s="20"/>
      <c r="K16" s="20"/>
      <c r="L16" s="23" t="str">
        <f>HYPERLINK("http://slimages.macys.com/is/image/MCY/18543522 ")</f>
        <v xml:space="preserve">http://slimages.macys.com/is/image/MCY/18543522 </v>
      </c>
    </row>
    <row r="17" spans="1:12" ht="39.950000000000003" customHeight="1" x14ac:dyDescent="0.25">
      <c r="A17" s="19" t="s">
        <v>1836</v>
      </c>
      <c r="B17" s="20" t="s">
        <v>1837</v>
      </c>
      <c r="C17" s="21">
        <v>1</v>
      </c>
      <c r="D17" s="22">
        <v>29.99</v>
      </c>
      <c r="E17" s="21" t="s">
        <v>1838</v>
      </c>
      <c r="F17" s="20" t="s">
        <v>922</v>
      </c>
      <c r="G17" s="19" t="s">
        <v>788</v>
      </c>
      <c r="H17" s="20" t="s">
        <v>1157</v>
      </c>
      <c r="I17" s="20" t="s">
        <v>1158</v>
      </c>
      <c r="J17" s="20" t="s">
        <v>20</v>
      </c>
      <c r="K17" s="20" t="s">
        <v>341</v>
      </c>
      <c r="L17" s="23" t="str">
        <f>HYPERLINK("http://slimages.macys.com/is/image/MCY/9356840 ")</f>
        <v xml:space="preserve">http://slimages.macys.com/is/image/MCY/9356840 </v>
      </c>
    </row>
    <row r="18" spans="1:12" ht="39.950000000000003" customHeight="1" x14ac:dyDescent="0.25">
      <c r="A18" s="19" t="s">
        <v>1839</v>
      </c>
      <c r="B18" s="20" t="s">
        <v>1840</v>
      </c>
      <c r="C18" s="21">
        <v>1</v>
      </c>
      <c r="D18" s="22">
        <v>35.99</v>
      </c>
      <c r="E18" s="21" t="s">
        <v>1841</v>
      </c>
      <c r="F18" s="20" t="s">
        <v>16</v>
      </c>
      <c r="G18" s="19" t="s">
        <v>1597</v>
      </c>
      <c r="H18" s="20" t="s">
        <v>724</v>
      </c>
      <c r="I18" s="20" t="s">
        <v>997</v>
      </c>
      <c r="J18" s="20" t="s">
        <v>132</v>
      </c>
      <c r="K18" s="20"/>
      <c r="L18" s="23" t="str">
        <f>HYPERLINK("http://slimages.macys.com/is/image/MCY/9406085 ")</f>
        <v xml:space="preserve">http://slimages.macys.com/is/image/MCY/9406085 </v>
      </c>
    </row>
    <row r="19" spans="1:12" ht="39.950000000000003" customHeight="1" x14ac:dyDescent="0.25">
      <c r="A19" s="19" t="s">
        <v>1019</v>
      </c>
      <c r="B19" s="20" t="s">
        <v>694</v>
      </c>
      <c r="C19" s="21">
        <v>18</v>
      </c>
      <c r="D19" s="22">
        <v>720</v>
      </c>
      <c r="E19" s="21"/>
      <c r="F19" s="20" t="s">
        <v>16</v>
      </c>
      <c r="G19" s="19" t="s">
        <v>17</v>
      </c>
      <c r="H19" s="20" t="s">
        <v>695</v>
      </c>
      <c r="I19" s="20" t="s">
        <v>696</v>
      </c>
      <c r="J19" s="20"/>
      <c r="K19" s="20"/>
      <c r="L19" s="23"/>
    </row>
    <row r="20" spans="1:12" ht="39.950000000000003" customHeight="1" x14ac:dyDescent="0.25">
      <c r="A20" s="13"/>
      <c r="B20" s="14"/>
      <c r="C20" s="15"/>
      <c r="D20" s="16"/>
      <c r="E20" s="15"/>
      <c r="F20" s="14"/>
      <c r="G20" s="13"/>
      <c r="H20" s="14"/>
      <c r="I20" s="14"/>
      <c r="J20" s="14"/>
      <c r="K20" s="14"/>
      <c r="L20" s="17"/>
    </row>
    <row r="21" spans="1:12" ht="39.950000000000003" customHeight="1" x14ac:dyDescent="0.25">
      <c r="A21" s="13"/>
      <c r="B21" s="14"/>
      <c r="C21" s="15"/>
      <c r="D21" s="16"/>
      <c r="E21" s="15"/>
      <c r="F21" s="14"/>
      <c r="G21" s="13"/>
      <c r="H21" s="14"/>
      <c r="I21" s="14"/>
      <c r="J21" s="14"/>
      <c r="K21" s="14"/>
      <c r="L21" s="17"/>
    </row>
    <row r="22" spans="1:12" ht="39.950000000000003" customHeight="1" x14ac:dyDescent="0.25">
      <c r="A22" s="13"/>
      <c r="B22" s="14"/>
      <c r="C22" s="15"/>
      <c r="D22" s="16"/>
      <c r="E22" s="15"/>
      <c r="F22" s="14"/>
      <c r="G22" s="13"/>
      <c r="H22" s="14"/>
      <c r="I22" s="14"/>
      <c r="J22" s="14"/>
      <c r="K22" s="14"/>
      <c r="L22" s="17"/>
    </row>
    <row r="23" spans="1:12" ht="39.950000000000003" customHeight="1" x14ac:dyDescent="0.25">
      <c r="A23" s="13"/>
      <c r="B23" s="14"/>
      <c r="C23" s="15"/>
      <c r="D23" s="16"/>
      <c r="E23" s="15"/>
      <c r="F23" s="14"/>
      <c r="G23" s="13"/>
      <c r="H23" s="14"/>
      <c r="I23" s="14"/>
      <c r="J23" s="14"/>
      <c r="K23" s="14"/>
      <c r="L23" s="17"/>
    </row>
    <row r="24" spans="1:12" ht="39.950000000000003" customHeight="1" x14ac:dyDescent="0.25">
      <c r="A24" s="13"/>
      <c r="B24" s="14"/>
      <c r="C24" s="15"/>
      <c r="D24" s="16"/>
      <c r="E24" s="15"/>
      <c r="F24" s="14"/>
      <c r="G24" s="13"/>
      <c r="H24" s="14"/>
      <c r="I24" s="14"/>
      <c r="J24" s="14"/>
      <c r="K24" s="14"/>
      <c r="L24" s="17"/>
    </row>
    <row r="25" spans="1:12" ht="39.950000000000003" customHeight="1" x14ac:dyDescent="0.25">
      <c r="A25" s="13"/>
      <c r="B25" s="14"/>
      <c r="C25" s="15"/>
      <c r="D25" s="16"/>
      <c r="E25" s="15"/>
      <c r="F25" s="14"/>
      <c r="G25" s="13"/>
      <c r="H25" s="14"/>
      <c r="I25" s="14"/>
      <c r="J25" s="14"/>
      <c r="K25" s="14"/>
      <c r="L25" s="17"/>
    </row>
    <row r="26" spans="1:12" ht="39.950000000000003" customHeight="1" x14ac:dyDescent="0.25">
      <c r="A26" s="13"/>
      <c r="B26" s="14"/>
      <c r="C26" s="15"/>
      <c r="D26" s="16"/>
      <c r="E26" s="15"/>
      <c r="F26" s="14"/>
      <c r="G26" s="13"/>
      <c r="H26" s="14"/>
      <c r="I26" s="14"/>
      <c r="J26" s="14"/>
      <c r="K26" s="14"/>
      <c r="L26" s="17"/>
    </row>
    <row r="27" spans="1:12" ht="39.950000000000003" customHeight="1" x14ac:dyDescent="0.25">
      <c r="A27" s="13"/>
      <c r="B27" s="14"/>
      <c r="C27" s="15"/>
      <c r="D27" s="16"/>
      <c r="E27" s="15"/>
      <c r="F27" s="14"/>
      <c r="G27" s="13"/>
      <c r="H27" s="14"/>
      <c r="I27" s="14"/>
      <c r="J27" s="14"/>
      <c r="K27" s="14"/>
      <c r="L27" s="17"/>
    </row>
    <row r="28" spans="1:12" ht="39.950000000000003" customHeight="1" x14ac:dyDescent="0.25">
      <c r="A28" s="13"/>
      <c r="B28" s="14"/>
      <c r="C28" s="15"/>
      <c r="D28" s="16"/>
      <c r="E28" s="15"/>
      <c r="F28" s="14"/>
      <c r="G28" s="13"/>
      <c r="H28" s="14"/>
      <c r="I28" s="14"/>
      <c r="J28" s="14"/>
      <c r="K28" s="14"/>
      <c r="L28" s="17"/>
    </row>
    <row r="29" spans="1:12" ht="39.950000000000003" customHeight="1" x14ac:dyDescent="0.25">
      <c r="A29" s="13"/>
      <c r="B29" s="14"/>
      <c r="C29" s="15"/>
      <c r="D29" s="16"/>
      <c r="E29" s="15"/>
      <c r="F29" s="14"/>
      <c r="G29" s="13"/>
      <c r="H29" s="14"/>
      <c r="I29" s="14"/>
      <c r="J29" s="14"/>
      <c r="K29" s="14"/>
      <c r="L29" s="17"/>
    </row>
    <row r="30" spans="1:12" ht="39.950000000000003" customHeight="1" x14ac:dyDescent="0.25">
      <c r="A30" s="13"/>
      <c r="B30" s="14"/>
      <c r="C30" s="15"/>
      <c r="D30" s="16"/>
      <c r="E30" s="15"/>
      <c r="F30" s="14"/>
      <c r="G30" s="13"/>
      <c r="H30" s="14"/>
      <c r="I30" s="14"/>
      <c r="J30" s="14"/>
      <c r="K30" s="14"/>
      <c r="L30" s="17"/>
    </row>
    <row r="31" spans="1:12" ht="39.950000000000003" customHeight="1" x14ac:dyDescent="0.25">
      <c r="A31" s="13"/>
      <c r="B31" s="14"/>
      <c r="C31" s="15"/>
      <c r="D31" s="16"/>
      <c r="E31" s="15"/>
      <c r="F31" s="14"/>
      <c r="G31" s="13"/>
      <c r="H31" s="14"/>
      <c r="I31" s="14"/>
      <c r="J31" s="14"/>
      <c r="K31" s="14"/>
      <c r="L31" s="17"/>
    </row>
    <row r="32" spans="1:12" ht="39.950000000000003" customHeight="1" x14ac:dyDescent="0.25">
      <c r="A32" s="13"/>
      <c r="B32" s="14"/>
      <c r="C32" s="15"/>
      <c r="D32" s="16"/>
      <c r="E32" s="15"/>
      <c r="F32" s="14"/>
      <c r="G32" s="13"/>
      <c r="H32" s="14"/>
      <c r="I32" s="14"/>
      <c r="J32" s="14"/>
      <c r="K32" s="14"/>
      <c r="L32" s="17"/>
    </row>
    <row r="33" spans="1:12" ht="39.950000000000003" customHeight="1" x14ac:dyDescent="0.25">
      <c r="A33" s="13"/>
      <c r="B33" s="14"/>
      <c r="C33" s="15"/>
      <c r="D33" s="16"/>
      <c r="E33" s="15"/>
      <c r="F33" s="14"/>
      <c r="G33" s="13"/>
      <c r="H33" s="14"/>
      <c r="I33" s="14"/>
      <c r="J33" s="14"/>
      <c r="K33" s="14"/>
      <c r="L33" s="17"/>
    </row>
    <row r="34" spans="1:12" ht="39.950000000000003" customHeight="1" x14ac:dyDescent="0.25">
      <c r="A34" s="13"/>
      <c r="B34" s="14"/>
      <c r="C34" s="15"/>
      <c r="D34" s="16"/>
      <c r="E34" s="15"/>
      <c r="F34" s="14"/>
      <c r="G34" s="13"/>
      <c r="H34" s="14"/>
      <c r="I34" s="14"/>
      <c r="J34" s="14"/>
      <c r="K34" s="14"/>
      <c r="L34" s="17"/>
    </row>
    <row r="35" spans="1:12" ht="39.950000000000003" customHeight="1" x14ac:dyDescent="0.25">
      <c r="A35" s="13"/>
      <c r="B35" s="14"/>
      <c r="C35" s="15"/>
      <c r="D35" s="16"/>
      <c r="E35" s="15"/>
      <c r="F35" s="14"/>
      <c r="G35" s="13"/>
      <c r="H35" s="14"/>
      <c r="I35" s="14"/>
      <c r="J35" s="14"/>
      <c r="K35" s="14"/>
      <c r="L35" s="17"/>
    </row>
    <row r="36" spans="1:12" ht="39.950000000000003" customHeight="1" x14ac:dyDescent="0.25">
      <c r="A36" s="13"/>
      <c r="B36" s="14"/>
      <c r="C36" s="15"/>
      <c r="D36" s="16"/>
      <c r="E36" s="15"/>
      <c r="F36" s="14"/>
      <c r="G36" s="13"/>
      <c r="H36" s="14"/>
      <c r="I36" s="14"/>
      <c r="J36" s="14"/>
      <c r="K36" s="14"/>
      <c r="L36" s="17"/>
    </row>
    <row r="37" spans="1:12" ht="39.950000000000003" customHeight="1" x14ac:dyDescent="0.25">
      <c r="A37" s="13"/>
      <c r="B37" s="14"/>
      <c r="C37" s="15"/>
      <c r="D37" s="16"/>
      <c r="E37" s="15"/>
      <c r="F37" s="14"/>
      <c r="G37" s="13"/>
      <c r="H37" s="14"/>
      <c r="I37" s="14"/>
      <c r="J37" s="14"/>
      <c r="K37" s="14"/>
      <c r="L37" s="17"/>
    </row>
    <row r="38" spans="1:12" ht="39.950000000000003" customHeight="1" x14ac:dyDescent="0.25">
      <c r="A38" s="13"/>
      <c r="B38" s="14"/>
      <c r="C38" s="15"/>
      <c r="D38" s="16"/>
      <c r="E38" s="15"/>
      <c r="F38" s="14"/>
      <c r="G38" s="13"/>
      <c r="H38" s="14"/>
      <c r="I38" s="14"/>
      <c r="J38" s="14"/>
      <c r="K38" s="14"/>
      <c r="L38" s="17"/>
    </row>
    <row r="39" spans="1:12" ht="39.950000000000003" customHeight="1" x14ac:dyDescent="0.25">
      <c r="A39" s="13"/>
      <c r="B39" s="14"/>
      <c r="C39" s="15"/>
      <c r="D39" s="16"/>
      <c r="E39" s="15"/>
      <c r="F39" s="14"/>
      <c r="G39" s="13"/>
      <c r="H39" s="14"/>
      <c r="I39" s="14"/>
      <c r="J39" s="14"/>
      <c r="K39" s="14"/>
      <c r="L39" s="17"/>
    </row>
    <row r="40" spans="1:12" ht="39.950000000000003" customHeight="1" x14ac:dyDescent="0.25">
      <c r="A40" s="13"/>
      <c r="B40" s="14"/>
      <c r="C40" s="15"/>
      <c r="D40" s="16"/>
      <c r="E40" s="15"/>
      <c r="F40" s="14"/>
      <c r="G40" s="13"/>
      <c r="H40" s="14"/>
      <c r="I40" s="14"/>
      <c r="J40" s="14"/>
      <c r="K40" s="14"/>
      <c r="L40" s="17"/>
    </row>
    <row r="41" spans="1:12" ht="39.950000000000003" customHeight="1" x14ac:dyDescent="0.25">
      <c r="A41" s="13"/>
      <c r="B41" s="14"/>
      <c r="C41" s="15"/>
      <c r="D41" s="16"/>
      <c r="E41" s="15"/>
      <c r="F41" s="14"/>
      <c r="G41" s="13"/>
      <c r="H41" s="14"/>
      <c r="I41" s="14"/>
      <c r="J41" s="14"/>
      <c r="K41" s="14"/>
      <c r="L41" s="17"/>
    </row>
    <row r="42" spans="1:12" ht="39.950000000000003" customHeight="1" x14ac:dyDescent="0.25">
      <c r="A42" s="13"/>
      <c r="B42" s="14"/>
      <c r="C42" s="15"/>
      <c r="D42" s="16"/>
      <c r="E42" s="15"/>
      <c r="F42" s="14"/>
      <c r="G42" s="13"/>
      <c r="H42" s="14"/>
      <c r="I42" s="14"/>
      <c r="J42" s="14"/>
      <c r="K42" s="14"/>
      <c r="L42" s="17"/>
    </row>
    <row r="43" spans="1:12" ht="39.950000000000003" customHeight="1" x14ac:dyDescent="0.25">
      <c r="A43" s="13"/>
      <c r="B43" s="14"/>
      <c r="C43" s="15"/>
      <c r="D43" s="16"/>
      <c r="E43" s="15"/>
      <c r="F43" s="14"/>
      <c r="G43" s="13"/>
      <c r="H43" s="14"/>
      <c r="I43" s="14"/>
      <c r="J43" s="14"/>
      <c r="K43" s="14"/>
      <c r="L43" s="17"/>
    </row>
    <row r="44" spans="1:12" ht="39.950000000000003" customHeight="1" x14ac:dyDescent="0.25">
      <c r="A44" s="13"/>
      <c r="B44" s="14"/>
      <c r="C44" s="15"/>
      <c r="D44" s="16"/>
      <c r="E44" s="15"/>
      <c r="F44" s="14"/>
      <c r="G44" s="13"/>
      <c r="H44" s="14"/>
      <c r="I44" s="14"/>
      <c r="J44" s="14"/>
      <c r="K44" s="14"/>
      <c r="L44" s="17"/>
    </row>
    <row r="45" spans="1:12" ht="39.950000000000003" customHeight="1" x14ac:dyDescent="0.25">
      <c r="A45" s="13"/>
      <c r="B45" s="14"/>
      <c r="C45" s="15"/>
      <c r="D45" s="16"/>
      <c r="E45" s="15"/>
      <c r="F45" s="14"/>
      <c r="G45" s="13"/>
      <c r="H45" s="14"/>
      <c r="I45" s="14"/>
      <c r="J45" s="14"/>
      <c r="K45" s="14"/>
      <c r="L45" s="17"/>
    </row>
    <row r="46" spans="1:12" ht="39.950000000000003" customHeight="1" x14ac:dyDescent="0.25">
      <c r="A46" s="13"/>
      <c r="B46" s="14"/>
      <c r="C46" s="15"/>
      <c r="D46" s="16"/>
      <c r="E46" s="15"/>
      <c r="F46" s="14"/>
      <c r="G46" s="13"/>
      <c r="H46" s="14"/>
      <c r="I46" s="14"/>
      <c r="J46" s="14"/>
      <c r="K46" s="14"/>
      <c r="L46" s="17"/>
    </row>
    <row r="47" spans="1:12" ht="39.950000000000003" customHeight="1" x14ac:dyDescent="0.25">
      <c r="A47" s="13"/>
      <c r="B47" s="14"/>
      <c r="C47" s="15"/>
      <c r="D47" s="16"/>
      <c r="E47" s="15"/>
      <c r="F47" s="14"/>
      <c r="G47" s="13"/>
      <c r="H47" s="14"/>
      <c r="I47" s="14"/>
      <c r="J47" s="14"/>
      <c r="K47" s="14"/>
      <c r="L47" s="17"/>
    </row>
    <row r="48" spans="1:12" ht="39.950000000000003" customHeight="1" x14ac:dyDescent="0.25">
      <c r="A48" s="13"/>
      <c r="B48" s="14"/>
      <c r="C48" s="15"/>
      <c r="D48" s="16"/>
      <c r="E48" s="15"/>
      <c r="F48" s="14"/>
      <c r="G48" s="13"/>
      <c r="H48" s="14"/>
      <c r="I48" s="14"/>
      <c r="J48" s="14"/>
      <c r="K48" s="14"/>
      <c r="L48" s="17"/>
    </row>
    <row r="49" spans="1:12" ht="39.950000000000003" customHeight="1" x14ac:dyDescent="0.25">
      <c r="A49" s="13"/>
      <c r="B49" s="14"/>
      <c r="C49" s="15"/>
      <c r="D49" s="16"/>
      <c r="E49" s="15"/>
      <c r="F49" s="14"/>
      <c r="G49" s="13"/>
      <c r="H49" s="14"/>
      <c r="I49" s="14"/>
      <c r="J49" s="14"/>
      <c r="K49" s="14"/>
      <c r="L49" s="17"/>
    </row>
    <row r="50" spans="1:12" ht="39.950000000000003" customHeight="1" x14ac:dyDescent="0.25">
      <c r="A50" s="13"/>
      <c r="B50" s="14"/>
      <c r="C50" s="15"/>
      <c r="D50" s="16"/>
      <c r="E50" s="15"/>
      <c r="F50" s="14"/>
      <c r="G50" s="13"/>
      <c r="H50" s="14"/>
      <c r="I50" s="14"/>
      <c r="J50" s="14"/>
      <c r="K50" s="14"/>
      <c r="L50" s="17"/>
    </row>
    <row r="51" spans="1:12" ht="39.950000000000003" customHeight="1" x14ac:dyDescent="0.25">
      <c r="A51" s="13"/>
      <c r="B51" s="14"/>
      <c r="C51" s="15"/>
      <c r="D51" s="16"/>
      <c r="E51" s="15"/>
      <c r="F51" s="14"/>
      <c r="G51" s="13"/>
      <c r="H51" s="14"/>
      <c r="I51" s="14"/>
      <c r="J51" s="14"/>
      <c r="K51" s="14"/>
      <c r="L51" s="17"/>
    </row>
    <row r="52" spans="1:12" ht="39.950000000000003" customHeight="1" x14ac:dyDescent="0.25">
      <c r="A52" s="13"/>
      <c r="B52" s="14"/>
      <c r="C52" s="15"/>
      <c r="D52" s="16"/>
      <c r="E52" s="15"/>
      <c r="F52" s="14"/>
      <c r="G52" s="13"/>
      <c r="H52" s="14"/>
      <c r="I52" s="14"/>
      <c r="J52" s="14"/>
      <c r="K52" s="14"/>
      <c r="L52" s="17"/>
    </row>
    <row r="53" spans="1:12" ht="39.950000000000003" customHeight="1" x14ac:dyDescent="0.25">
      <c r="A53" s="13"/>
      <c r="B53" s="14"/>
      <c r="C53" s="15"/>
      <c r="D53" s="16"/>
      <c r="E53" s="15"/>
      <c r="F53" s="14"/>
      <c r="G53" s="13"/>
      <c r="H53" s="14"/>
      <c r="I53" s="14"/>
      <c r="J53" s="14"/>
      <c r="K53" s="14"/>
      <c r="L53" s="17"/>
    </row>
    <row r="54" spans="1:12" ht="39.950000000000003" customHeight="1" x14ac:dyDescent="0.25">
      <c r="A54" s="13"/>
      <c r="B54" s="14"/>
      <c r="C54" s="15"/>
      <c r="D54" s="16"/>
      <c r="E54" s="15"/>
      <c r="F54" s="14"/>
      <c r="G54" s="13"/>
      <c r="H54" s="14"/>
      <c r="I54" s="14"/>
      <c r="J54" s="14"/>
      <c r="K54" s="14"/>
      <c r="L54" s="17"/>
    </row>
    <row r="55" spans="1:12" ht="39.950000000000003" customHeight="1" x14ac:dyDescent="0.25">
      <c r="A55" s="13"/>
      <c r="B55" s="14"/>
      <c r="C55" s="15"/>
      <c r="D55" s="16"/>
      <c r="E55" s="15"/>
      <c r="F55" s="14"/>
      <c r="G55" s="13"/>
      <c r="H55" s="14"/>
      <c r="I55" s="14"/>
      <c r="J55" s="14"/>
      <c r="K55" s="14"/>
      <c r="L55" s="17"/>
    </row>
    <row r="56" spans="1:12" ht="39.950000000000003" customHeight="1" x14ac:dyDescent="0.25">
      <c r="A56" s="13"/>
      <c r="B56" s="14"/>
      <c r="C56" s="15"/>
      <c r="D56" s="16"/>
      <c r="E56" s="15"/>
      <c r="F56" s="14"/>
      <c r="G56" s="13"/>
      <c r="H56" s="14"/>
      <c r="I56" s="14"/>
      <c r="J56" s="14"/>
      <c r="K56" s="14"/>
      <c r="L56" s="1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24</vt:i4>
      </vt:variant>
    </vt:vector>
  </HeadingPairs>
  <TitlesOfParts>
    <vt:vector size="24" baseType="lpstr">
      <vt:lpstr>Summary </vt:lpstr>
      <vt:lpstr>TT1</vt:lpstr>
      <vt:lpstr>TT2</vt:lpstr>
      <vt:lpstr>TT3</vt:lpstr>
      <vt:lpstr>Pallet1</vt:lpstr>
      <vt:lpstr>Pallet2</vt:lpstr>
      <vt:lpstr>Pallet3</vt:lpstr>
      <vt:lpstr>Pallet4</vt:lpstr>
      <vt:lpstr>Pallet 5</vt:lpstr>
      <vt:lpstr>Pallet 6</vt:lpstr>
      <vt:lpstr>Pallet 7</vt:lpstr>
      <vt:lpstr>Pallet 8</vt:lpstr>
      <vt:lpstr>Pallet 9</vt:lpstr>
      <vt:lpstr>Pallet 10</vt:lpstr>
      <vt:lpstr>Pallet 11</vt:lpstr>
      <vt:lpstr>Pallet 12</vt:lpstr>
      <vt:lpstr>Pallet 13</vt:lpstr>
      <vt:lpstr>Pallet 14</vt:lpstr>
      <vt:lpstr>Pallet 15</vt:lpstr>
      <vt:lpstr>Pallet 16</vt:lpstr>
      <vt:lpstr>Pallet 17</vt:lpstr>
      <vt:lpstr>Pallet 18</vt:lpstr>
      <vt:lpstr>Pallet 19</vt:lpstr>
      <vt:lpstr>Pallet 20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dcterms:created xsi:type="dcterms:W3CDTF">2021-04-27T14:20:11Z</dcterms:created>
  <dcterms:modified xsi:type="dcterms:W3CDTF">2021-05-21T14:44:45Z</dcterms:modified>
</cp:coreProperties>
</file>